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00VideoExcelStorage\214\2013-214\Content\Week02\"/>
    </mc:Choice>
  </mc:AlternateContent>
  <bookViews>
    <workbookView xWindow="0" yWindow="0" windowWidth="28800" windowHeight="13725"/>
  </bookViews>
  <sheets>
    <sheet name="Topics" sheetId="1" r:id="rId1"/>
    <sheet name="Formula Notes" sheetId="2" r:id="rId2"/>
    <sheet name="Examples of Formulas" sheetId="3" r:id="rId3"/>
    <sheet name="Examples of Formulas (an)" sheetId="26" r:id="rId4"/>
    <sheet name="Math OOO" sheetId="4" r:id="rId5"/>
    <sheet name="Math OOO (an)" sheetId="27" r:id="rId6"/>
    <sheet name="How Formulas Calc" sheetId="5" r:id="rId7"/>
    <sheet name="How Formulas Calc (an)" sheetId="28" r:id="rId8"/>
    <sheet name="In-Decrease" sheetId="10" r:id="rId9"/>
    <sheet name="In-Decrease (an)" sheetId="29" r:id="rId10"/>
    <sheet name="Cell References" sheetId="24" r:id="rId11"/>
    <sheet name="CR(1)" sheetId="7" r:id="rId12"/>
    <sheet name="CR(1an)" sheetId="30" r:id="rId13"/>
    <sheet name="CR(2)" sheetId="8" r:id="rId14"/>
    <sheet name="CR(2an)" sheetId="31" r:id="rId15"/>
    <sheet name="CR(3)" sheetId="9" r:id="rId16"/>
    <sheet name="CR(3an)" sheetId="32" r:id="rId17"/>
    <sheet name="CR(4)" sheetId="13" r:id="rId18"/>
    <sheet name="CR(4an)" sheetId="33" r:id="rId19"/>
    <sheet name="CR(5)" sheetId="14" r:id="rId20"/>
    <sheet name="CR(5an)" sheetId="34" r:id="rId21"/>
    <sheet name="CR(6)" sheetId="12" r:id="rId22"/>
    <sheet name="CR(6an)" sheetId="35" r:id="rId23"/>
    <sheet name="CR(7)" sheetId="11" r:id="rId24"/>
    <sheet name="CR(7an)" sheetId="36" r:id="rId25"/>
    <sheet name="Scenarios" sheetId="37" r:id="rId26"/>
    <sheet name="Scenarios (an)" sheetId="15" r:id="rId27"/>
    <sheet name="CR(8)" sheetId="25" r:id="rId28"/>
    <sheet name="CR(8an)" sheetId="38" r:id="rId29"/>
    <sheet name="CAR" sheetId="17" r:id="rId30"/>
    <sheet name="CR(9)" sheetId="18" r:id="rId31"/>
    <sheet name="CR(9an)" sheetId="39" r:id="rId32"/>
    <sheet name="Corp" sheetId="19" r:id="rId33"/>
    <sheet name="Corp (an)" sheetId="40" r:id="rId34"/>
    <sheet name="Oak" sheetId="20" r:id="rId35"/>
    <sheet name="Sea" sheetId="21" r:id="rId36"/>
    <sheet name="Tac" sheetId="22" r:id="rId37"/>
    <sheet name="Tables-old" sheetId="86" state="hidden" r:id="rId38"/>
    <sheet name="Tables (an)-old" sheetId="87" state="hidden" r:id="rId39"/>
    <sheet name="HW ==&gt;&gt;" sheetId="42" r:id="rId40"/>
    <sheet name="HW(1)" sheetId="43" r:id="rId41"/>
    <sheet name="HW(1an)" sheetId="44" r:id="rId42"/>
    <sheet name="HW(2)" sheetId="45" r:id="rId43"/>
    <sheet name="HW(2an)" sheetId="46" r:id="rId44"/>
    <sheet name="HW(3)" sheetId="47" r:id="rId45"/>
    <sheet name="HW(3an)" sheetId="48" r:id="rId46"/>
    <sheet name="HW(4)" sheetId="49" r:id="rId47"/>
    <sheet name="HW(4an)" sheetId="50" r:id="rId48"/>
    <sheet name="HW(5)" sheetId="51" r:id="rId49"/>
    <sheet name="HW(5an)" sheetId="52" r:id="rId50"/>
    <sheet name="HW(6)" sheetId="53" r:id="rId51"/>
    <sheet name="HW(6an)" sheetId="54" r:id="rId52"/>
    <sheet name="HW(7)" sheetId="55" r:id="rId53"/>
    <sheet name="HW(7an)" sheetId="56" r:id="rId54"/>
    <sheet name="HW(8)" sheetId="57" r:id="rId55"/>
    <sheet name="HW(8an)" sheetId="58" r:id="rId56"/>
    <sheet name="HW(9)" sheetId="59" r:id="rId57"/>
    <sheet name="HW(9an)" sheetId="60" r:id="rId58"/>
    <sheet name="HW(10)" sheetId="61" r:id="rId59"/>
    <sheet name="HW(10an)" sheetId="62" r:id="rId60"/>
    <sheet name="HW(11)" sheetId="63" r:id="rId61"/>
    <sheet name="HW(11an)" sheetId="64" r:id="rId62"/>
    <sheet name="HW(12)" sheetId="65" r:id="rId63"/>
    <sheet name="HW(12an)" sheetId="66" r:id="rId64"/>
    <sheet name="HW(13)" sheetId="67" r:id="rId65"/>
    <sheet name="HW(13an)" sheetId="68" r:id="rId66"/>
    <sheet name="HW(14)" sheetId="69" r:id="rId67"/>
    <sheet name="HW(14an)" sheetId="70" r:id="rId68"/>
    <sheet name="HW(15)" sheetId="71" r:id="rId69"/>
    <sheet name="HW(15an)" sheetId="72" r:id="rId70"/>
    <sheet name="HW(16)" sheetId="73" r:id="rId71"/>
    <sheet name="HW(16an)" sheetId="74" r:id="rId72"/>
    <sheet name="HW(17)" sheetId="75" r:id="rId73"/>
    <sheet name="HW(17an)" sheetId="76" r:id="rId74"/>
    <sheet name="HW(18)" sheetId="77" r:id="rId75"/>
    <sheet name="HW(18an)" sheetId="78" r:id="rId76"/>
    <sheet name="HW(19)" sheetId="79" r:id="rId77"/>
    <sheet name="HW(19an)" sheetId="80" r:id="rId78"/>
    <sheet name="HW(20)" sheetId="81" r:id="rId79"/>
    <sheet name="AssumptionsFor20" sheetId="82" r:id="rId80"/>
    <sheet name="HW(20an)" sheetId="83" r:id="rId81"/>
    <sheet name="HW(21)" sheetId="84" r:id="rId82"/>
    <sheet name="HW(21an)" sheetId="85" r:id="rId83"/>
  </sheets>
  <definedNames>
    <definedName name="_xlnm._FilterDatabase" localSheetId="17" hidden="1">'CR(4)'!$C$22:$C$127</definedName>
    <definedName name="_xlnm._FilterDatabase" localSheetId="18" hidden="1">'CR(4an)'!$C$22:$C$127</definedName>
    <definedName name="_xlnm._FilterDatabase" localSheetId="2" hidden="1">'Examples of Formulas'!$G$26:$I$252</definedName>
    <definedName name="_xlnm._FilterDatabase" localSheetId="3" hidden="1">'Examples of Formulas (an)'!$G$26:$I$252</definedName>
    <definedName name="_xlnm._FilterDatabase" localSheetId="68" hidden="1">'HW(15)'!$B$12:$B$117</definedName>
    <definedName name="_xlnm._FilterDatabase" localSheetId="69" hidden="1">'HW(15an)'!$B$12:$B$117</definedName>
    <definedName name="_xlnm.Print_Area" localSheetId="10">'Cell References'!$A$1:$L$55,'Cell References'!$N$1:$Y$55</definedName>
    <definedName name="_xlnm.Print_Area" localSheetId="1">'Formula Notes'!$A$1:$K$75</definedName>
    <definedName name="_xlnm.Print_Area" localSheetId="6">'How Formulas Calc'!$A$1:$F$23</definedName>
  </definedNames>
  <calcPr calcId="152511"/>
  <pivotCaches>
    <pivotCache cacheId="11" r:id="rId8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4" i="86" l="1"/>
  <c r="A55" i="86"/>
  <c r="A56" i="86"/>
  <c r="A57" i="86"/>
  <c r="A58" i="86"/>
  <c r="A59" i="86"/>
  <c r="A60" i="86"/>
  <c r="E12" i="40" l="1"/>
  <c r="D12" i="40"/>
  <c r="C12" i="40"/>
  <c r="B12" i="40"/>
  <c r="E8" i="40"/>
  <c r="D8" i="40"/>
  <c r="C8" i="40"/>
  <c r="B8" i="40"/>
  <c r="E7" i="40"/>
  <c r="D7" i="40"/>
  <c r="C7" i="40"/>
  <c r="B7" i="40"/>
  <c r="E6" i="40"/>
  <c r="D6" i="40"/>
  <c r="C6" i="40"/>
  <c r="B6" i="40"/>
  <c r="E5" i="40"/>
  <c r="D5" i="40"/>
  <c r="C5" i="40"/>
  <c r="B5" i="40"/>
  <c r="E4" i="40"/>
  <c r="D4" i="40"/>
  <c r="C4" i="40"/>
  <c r="B4" i="40"/>
  <c r="E3" i="40"/>
  <c r="D3" i="40"/>
  <c r="C3" i="40"/>
  <c r="C9" i="40" s="1"/>
  <c r="B3" i="40"/>
  <c r="F3" i="40" s="1"/>
  <c r="A1" i="40"/>
  <c r="B10" i="39"/>
  <c r="B11" i="38"/>
  <c r="B13" i="38" s="1"/>
  <c r="B9" i="40" l="1"/>
  <c r="F4" i="40"/>
  <c r="F5" i="40"/>
  <c r="F6" i="40"/>
  <c r="F7" i="40"/>
  <c r="F8" i="40"/>
  <c r="D9" i="40"/>
  <c r="E9" i="40"/>
  <c r="F9" i="40" s="1"/>
  <c r="E12" i="19"/>
  <c r="C12" i="19"/>
  <c r="D12" i="19"/>
  <c r="B12" i="19"/>
  <c r="G9" i="37" l="1"/>
  <c r="F9" i="37"/>
  <c r="E9" i="37"/>
  <c r="D9" i="37"/>
  <c r="C9" i="37"/>
  <c r="B9" i="37"/>
  <c r="A9" i="37"/>
  <c r="G8" i="37"/>
  <c r="F8" i="37"/>
  <c r="E8" i="37"/>
  <c r="D8" i="37"/>
  <c r="C8" i="37"/>
  <c r="B8" i="37"/>
  <c r="A8" i="37"/>
  <c r="G7" i="37"/>
  <c r="F7" i="37"/>
  <c r="E7" i="37"/>
  <c r="D7" i="37"/>
  <c r="C7" i="37"/>
  <c r="C10" i="37" s="1"/>
  <c r="C11" i="37" s="1"/>
  <c r="B7" i="37"/>
  <c r="A7" i="37"/>
  <c r="G6" i="37"/>
  <c r="F6" i="37"/>
  <c r="E6" i="37"/>
  <c r="D6" i="37"/>
  <c r="C6" i="37"/>
  <c r="B6" i="37"/>
  <c r="H6" i="37" s="1"/>
  <c r="A6" i="37"/>
  <c r="G5" i="37"/>
  <c r="F5" i="37"/>
  <c r="E5" i="37"/>
  <c r="D5" i="37"/>
  <c r="C5" i="37"/>
  <c r="B5" i="37"/>
  <c r="A5" i="37"/>
  <c r="G4" i="37"/>
  <c r="G10" i="37" s="1"/>
  <c r="G11" i="37" s="1"/>
  <c r="F4" i="37"/>
  <c r="F10" i="37" s="1"/>
  <c r="F11" i="37" s="1"/>
  <c r="E4" i="37"/>
  <c r="D4" i="37"/>
  <c r="D10" i="37" s="1"/>
  <c r="D11" i="37" s="1"/>
  <c r="C4" i="37"/>
  <c r="B4" i="37"/>
  <c r="B10" i="37" s="1"/>
  <c r="B11" i="37" s="1"/>
  <c r="A4" i="37"/>
  <c r="H3" i="37"/>
  <c r="B4" i="15"/>
  <c r="C4" i="15"/>
  <c r="D4" i="15"/>
  <c r="E4" i="15"/>
  <c r="F4" i="15"/>
  <c r="G4" i="15"/>
  <c r="B5" i="15"/>
  <c r="C5" i="15"/>
  <c r="D5" i="15"/>
  <c r="E5" i="15"/>
  <c r="F5" i="15"/>
  <c r="G5" i="15"/>
  <c r="B6" i="15"/>
  <c r="C6" i="15"/>
  <c r="D6" i="15"/>
  <c r="E6" i="15"/>
  <c r="F6" i="15"/>
  <c r="G6" i="15"/>
  <c r="B7" i="15"/>
  <c r="C7" i="15"/>
  <c r="D7" i="15"/>
  <c r="E7" i="15"/>
  <c r="F7" i="15"/>
  <c r="G7" i="15"/>
  <c r="B8" i="15"/>
  <c r="C8" i="15"/>
  <c r="D8" i="15"/>
  <c r="E8" i="15"/>
  <c r="F8" i="15"/>
  <c r="G8" i="15"/>
  <c r="B9" i="15"/>
  <c r="C9" i="15"/>
  <c r="D9" i="15"/>
  <c r="E9" i="15"/>
  <c r="F9" i="15"/>
  <c r="G9" i="15"/>
  <c r="A9" i="15"/>
  <c r="A8" i="15"/>
  <c r="A7" i="15"/>
  <c r="A6" i="15"/>
  <c r="A5" i="15"/>
  <c r="A4" i="15"/>
  <c r="H3" i="15"/>
  <c r="H7" i="37" l="1"/>
  <c r="E10" i="37"/>
  <c r="E11" i="37" s="1"/>
  <c r="H5" i="37"/>
  <c r="H9" i="37"/>
  <c r="H4" i="37"/>
  <c r="H8" i="37"/>
  <c r="C10" i="15"/>
  <c r="C11" i="15" s="1"/>
  <c r="H5" i="15"/>
  <c r="H9" i="15"/>
  <c r="H4" i="15"/>
  <c r="H8" i="15"/>
  <c r="H6" i="15"/>
  <c r="E10" i="15"/>
  <c r="E11" i="15" s="1"/>
  <c r="G10" i="15"/>
  <c r="G11" i="15" s="1"/>
  <c r="D10" i="15"/>
  <c r="D11" i="15" s="1"/>
  <c r="H7" i="15"/>
  <c r="B10" i="15"/>
  <c r="B11" i="15" s="1"/>
  <c r="F10" i="15"/>
  <c r="F11" i="15" s="1"/>
  <c r="A5" i="36"/>
  <c r="A6" i="36" s="1"/>
  <c r="A7" i="36" s="1"/>
  <c r="A8" i="36" s="1"/>
  <c r="A9" i="36" s="1"/>
  <c r="A10" i="36" s="1"/>
  <c r="A11" i="36" s="1"/>
  <c r="A12" i="36" s="1"/>
  <c r="A13" i="36" s="1"/>
  <c r="B4" i="36"/>
  <c r="B15" i="35"/>
  <c r="B14" i="35"/>
  <c r="F14" i="35" s="1"/>
  <c r="K13" i="35"/>
  <c r="G13" i="35"/>
  <c r="C13" i="35"/>
  <c r="B13" i="35"/>
  <c r="L12" i="35"/>
  <c r="H12" i="35"/>
  <c r="D12" i="35"/>
  <c r="B12" i="35"/>
  <c r="N12" i="35" s="1"/>
  <c r="B11" i="35"/>
  <c r="B10" i="35"/>
  <c r="N10" i="35" s="1"/>
  <c r="K9" i="35"/>
  <c r="G9" i="35"/>
  <c r="C9" i="35"/>
  <c r="B9" i="35"/>
  <c r="L8" i="35"/>
  <c r="H8" i="35"/>
  <c r="D8" i="35"/>
  <c r="B8" i="35"/>
  <c r="N8" i="35" s="1"/>
  <c r="B7" i="35"/>
  <c r="B6" i="35"/>
  <c r="J6" i="35" s="1"/>
  <c r="K5" i="35"/>
  <c r="G5" i="35"/>
  <c r="C5" i="35"/>
  <c r="B5" i="35"/>
  <c r="L4" i="35"/>
  <c r="H4" i="35"/>
  <c r="D4" i="35"/>
  <c r="B4" i="35"/>
  <c r="N4" i="35" s="1"/>
  <c r="N3" i="35"/>
  <c r="N15" i="35" s="1"/>
  <c r="M3" i="35"/>
  <c r="M12" i="35" s="1"/>
  <c r="L3" i="35"/>
  <c r="L13" i="35" s="1"/>
  <c r="K3" i="35"/>
  <c r="K14" i="35" s="1"/>
  <c r="J3" i="35"/>
  <c r="J15" i="35" s="1"/>
  <c r="I3" i="35"/>
  <c r="I12" i="35" s="1"/>
  <c r="H3" i="35"/>
  <c r="H13" i="35" s="1"/>
  <c r="G3" i="35"/>
  <c r="G14" i="35" s="1"/>
  <c r="F3" i="35"/>
  <c r="F15" i="35" s="1"/>
  <c r="E3" i="35"/>
  <c r="E12" i="35" s="1"/>
  <c r="D3" i="35"/>
  <c r="D13" i="35" s="1"/>
  <c r="C3" i="35"/>
  <c r="C14" i="35" s="1"/>
  <c r="C23" i="34"/>
  <c r="E22" i="34"/>
  <c r="A22" i="34"/>
  <c r="A22" i="34" a="1"/>
  <c r="F23" i="34" s="1"/>
  <c r="E10" i="34"/>
  <c r="E11" i="34" s="1"/>
  <c r="G9" i="34"/>
  <c r="F9" i="34"/>
  <c r="E9" i="34"/>
  <c r="D9" i="34"/>
  <c r="H9" i="34" s="1"/>
  <c r="C9" i="34"/>
  <c r="B9" i="34"/>
  <c r="A9" i="34"/>
  <c r="H8" i="34"/>
  <c r="G8" i="34"/>
  <c r="F8" i="34"/>
  <c r="E8" i="34"/>
  <c r="D8" i="34"/>
  <c r="C8" i="34"/>
  <c r="B8" i="34"/>
  <c r="A8" i="34"/>
  <c r="G7" i="34"/>
  <c r="F7" i="34"/>
  <c r="E7" i="34"/>
  <c r="D7" i="34"/>
  <c r="H7" i="34" s="1"/>
  <c r="C7" i="34"/>
  <c r="B7" i="34"/>
  <c r="A7" i="34"/>
  <c r="G6" i="34"/>
  <c r="F6" i="34"/>
  <c r="E6" i="34"/>
  <c r="D6" i="34"/>
  <c r="H6" i="34" s="1"/>
  <c r="C6" i="34"/>
  <c r="B6" i="34"/>
  <c r="A6" i="34"/>
  <c r="G5" i="34"/>
  <c r="F5" i="34"/>
  <c r="E5" i="34"/>
  <c r="D5" i="34"/>
  <c r="H5" i="34" s="1"/>
  <c r="C5" i="34"/>
  <c r="B5" i="34"/>
  <c r="A5" i="34"/>
  <c r="H4" i="34"/>
  <c r="G4" i="34"/>
  <c r="G10" i="34" s="1"/>
  <c r="G11" i="34" s="1"/>
  <c r="F4" i="34"/>
  <c r="F10" i="34" s="1"/>
  <c r="F11" i="34" s="1"/>
  <c r="E4" i="34"/>
  <c r="D4" i="34"/>
  <c r="D10" i="34" s="1"/>
  <c r="D11" i="34" s="1"/>
  <c r="C4" i="34"/>
  <c r="C10" i="34" s="1"/>
  <c r="C11" i="34" s="1"/>
  <c r="B4" i="34"/>
  <c r="B10" i="34" s="1"/>
  <c r="A4" i="34"/>
  <c r="H3" i="34"/>
  <c r="N39" i="33"/>
  <c r="M39" i="33"/>
  <c r="L39" i="33"/>
  <c r="K39" i="33"/>
  <c r="N38" i="33"/>
  <c r="M38" i="33"/>
  <c r="L38" i="33"/>
  <c r="K38" i="33"/>
  <c r="N37" i="33"/>
  <c r="M37" i="33"/>
  <c r="L37" i="33"/>
  <c r="K37" i="33"/>
  <c r="N36" i="33"/>
  <c r="M36" i="33"/>
  <c r="L36" i="33"/>
  <c r="K36" i="33"/>
  <c r="N35" i="33"/>
  <c r="M35" i="33"/>
  <c r="L35" i="33"/>
  <c r="K35" i="33"/>
  <c r="N27" i="33"/>
  <c r="M27" i="33"/>
  <c r="L27" i="33"/>
  <c r="K27" i="33"/>
  <c r="N26" i="33"/>
  <c r="M26" i="33"/>
  <c r="L26" i="33"/>
  <c r="K26" i="33"/>
  <c r="N25" i="33"/>
  <c r="M25" i="33"/>
  <c r="L25" i="33"/>
  <c r="K25" i="33"/>
  <c r="N24" i="33"/>
  <c r="M24" i="33"/>
  <c r="L24" i="33"/>
  <c r="K24" i="33"/>
  <c r="N23" i="33"/>
  <c r="M23" i="33"/>
  <c r="L23" i="33"/>
  <c r="K23" i="33"/>
  <c r="L8" i="33"/>
  <c r="J8" i="33"/>
  <c r="H8" i="33"/>
  <c r="L7" i="33"/>
  <c r="J7" i="33"/>
  <c r="H7" i="33"/>
  <c r="L6" i="33"/>
  <c r="J6" i="33"/>
  <c r="H6" i="33"/>
  <c r="L5" i="33"/>
  <c r="J5" i="33"/>
  <c r="H5" i="33"/>
  <c r="L4" i="33"/>
  <c r="J4" i="33"/>
  <c r="H4" i="33"/>
  <c r="L3" i="33"/>
  <c r="J3" i="33"/>
  <c r="H3" i="33"/>
  <c r="L2" i="33"/>
  <c r="J2" i="33"/>
  <c r="H2" i="33"/>
  <c r="H10" i="37" l="1"/>
  <c r="H11" i="37" s="1"/>
  <c r="H10" i="15"/>
  <c r="H11" i="15" s="1"/>
  <c r="B13" i="36"/>
  <c r="B12" i="36"/>
  <c r="C4" i="36"/>
  <c r="B7" i="36"/>
  <c r="B11" i="36"/>
  <c r="B8" i="36"/>
  <c r="B6" i="36"/>
  <c r="B10" i="36"/>
  <c r="B5" i="36"/>
  <c r="B9" i="36"/>
  <c r="F6" i="35"/>
  <c r="M7" i="35"/>
  <c r="J10" i="35"/>
  <c r="I11" i="35"/>
  <c r="M11" i="35"/>
  <c r="J14" i="35"/>
  <c r="N14" i="35"/>
  <c r="M15" i="35"/>
  <c r="F4" i="35"/>
  <c r="J4" i="35"/>
  <c r="E5" i="35"/>
  <c r="I5" i="35"/>
  <c r="M5" i="35"/>
  <c r="D6" i="35"/>
  <c r="H6" i="35"/>
  <c r="L6" i="35"/>
  <c r="C7" i="35"/>
  <c r="G7" i="35"/>
  <c r="K7" i="35"/>
  <c r="F8" i="35"/>
  <c r="J8" i="35"/>
  <c r="E9" i="35"/>
  <c r="I9" i="35"/>
  <c r="M9" i="35"/>
  <c r="D10" i="35"/>
  <c r="H10" i="35"/>
  <c r="L10" i="35"/>
  <c r="C11" i="35"/>
  <c r="G11" i="35"/>
  <c r="K11" i="35"/>
  <c r="F12" i="35"/>
  <c r="J12" i="35"/>
  <c r="E13" i="35"/>
  <c r="I13" i="35"/>
  <c r="M13" i="35"/>
  <c r="D14" i="35"/>
  <c r="H14" i="35"/>
  <c r="L14" i="35"/>
  <c r="C15" i="35"/>
  <c r="G15" i="35"/>
  <c r="K15" i="35"/>
  <c r="N6" i="35"/>
  <c r="I7" i="35"/>
  <c r="E11" i="35"/>
  <c r="I15" i="35"/>
  <c r="C4" i="35"/>
  <c r="G4" i="35"/>
  <c r="K4" i="35"/>
  <c r="F5" i="35"/>
  <c r="J5" i="35"/>
  <c r="N5" i="35"/>
  <c r="E6" i="35"/>
  <c r="I6" i="35"/>
  <c r="M6" i="35"/>
  <c r="D7" i="35"/>
  <c r="H7" i="35"/>
  <c r="L7" i="35"/>
  <c r="C8" i="35"/>
  <c r="G8" i="35"/>
  <c r="K8" i="35"/>
  <c r="F9" i="35"/>
  <c r="J9" i="35"/>
  <c r="N9" i="35"/>
  <c r="E10" i="35"/>
  <c r="I10" i="35"/>
  <c r="M10" i="35"/>
  <c r="D11" i="35"/>
  <c r="H11" i="35"/>
  <c r="L11" i="35"/>
  <c r="C12" i="35"/>
  <c r="G12" i="35"/>
  <c r="K12" i="35"/>
  <c r="F13" i="35"/>
  <c r="J13" i="35"/>
  <c r="N13" i="35"/>
  <c r="E14" i="35"/>
  <c r="I14" i="35"/>
  <c r="M14" i="35"/>
  <c r="D15" i="35"/>
  <c r="H15" i="35"/>
  <c r="L15" i="35"/>
  <c r="E7" i="35"/>
  <c r="F10" i="35"/>
  <c r="E15" i="35"/>
  <c r="E4" i="35"/>
  <c r="I4" i="35"/>
  <c r="M4" i="35"/>
  <c r="D5" i="35"/>
  <c r="H5" i="35"/>
  <c r="L5" i="35"/>
  <c r="C6" i="35"/>
  <c r="G6" i="35"/>
  <c r="K6" i="35"/>
  <c r="F7" i="35"/>
  <c r="J7" i="35"/>
  <c r="N7" i="35"/>
  <c r="E8" i="35"/>
  <c r="I8" i="35"/>
  <c r="M8" i="35"/>
  <c r="D9" i="35"/>
  <c r="H9" i="35"/>
  <c r="L9" i="35"/>
  <c r="C10" i="35"/>
  <c r="G10" i="35"/>
  <c r="K10" i="35"/>
  <c r="F11" i="35"/>
  <c r="J11" i="35"/>
  <c r="N11" i="35"/>
  <c r="H10" i="34"/>
  <c r="B11" i="34"/>
  <c r="H11" i="34"/>
  <c r="B22" i="34"/>
  <c r="F22" i="34"/>
  <c r="D23" i="34"/>
  <c r="C22" i="34"/>
  <c r="A23" i="34"/>
  <c r="E23" i="34"/>
  <c r="D22" i="34"/>
  <c r="B23" i="34"/>
  <c r="C52" i="32"/>
  <c r="C51" i="32"/>
  <c r="C50" i="32"/>
  <c r="C49" i="32"/>
  <c r="C48" i="32"/>
  <c r="C47" i="32"/>
  <c r="C46" i="32"/>
  <c r="C45" i="32"/>
  <c r="C44" i="32"/>
  <c r="C43" i="32"/>
  <c r="C42" i="32"/>
  <c r="C41" i="32"/>
  <c r="C40" i="32"/>
  <c r="C39" i="32"/>
  <c r="C38" i="32"/>
  <c r="C37" i="32"/>
  <c r="C36" i="32"/>
  <c r="C35" i="32"/>
  <c r="C34" i="32"/>
  <c r="C33" i="32"/>
  <c r="C32" i="32"/>
  <c r="C31" i="32"/>
  <c r="C30" i="32"/>
  <c r="C29" i="32"/>
  <c r="C28" i="32"/>
  <c r="C27" i="32"/>
  <c r="C26" i="32"/>
  <c r="C25" i="32"/>
  <c r="C24" i="32"/>
  <c r="C23" i="32"/>
  <c r="C22" i="32"/>
  <c r="C21" i="32"/>
  <c r="C20" i="32"/>
  <c r="C19" i="32"/>
  <c r="C18" i="32"/>
  <c r="C17" i="32"/>
  <c r="C16" i="32"/>
  <c r="C15" i="32"/>
  <c r="C14" i="32"/>
  <c r="C13" i="32"/>
  <c r="C12" i="32"/>
  <c r="C11" i="32"/>
  <c r="C10" i="32"/>
  <c r="C9" i="32"/>
  <c r="C8" i="32"/>
  <c r="C7" i="32"/>
  <c r="C6" i="32"/>
  <c r="C5" i="32"/>
  <c r="I24" i="31"/>
  <c r="I25" i="31" s="1"/>
  <c r="I19" i="31"/>
  <c r="A19" i="31"/>
  <c r="A8" i="31"/>
  <c r="A7" i="31"/>
  <c r="A6" i="31"/>
  <c r="B5" i="31"/>
  <c r="E5" i="31" s="1"/>
  <c r="A5" i="31"/>
  <c r="A4" i="31"/>
  <c r="A3" i="31"/>
  <c r="B2" i="31"/>
  <c r="B7" i="31" s="1"/>
  <c r="E7" i="31" s="1"/>
  <c r="E1" i="31"/>
  <c r="D7" i="30"/>
  <c r="D6" i="30"/>
  <c r="D5" i="30"/>
  <c r="D4" i="30"/>
  <c r="D3" i="30"/>
  <c r="D2" i="30"/>
  <c r="A22" i="14" a="1"/>
  <c r="B22" i="14" s="1"/>
  <c r="C10" i="36" l="1"/>
  <c r="C6" i="36"/>
  <c r="C13" i="36"/>
  <c r="C5" i="36"/>
  <c r="C11" i="36"/>
  <c r="C7" i="36"/>
  <c r="D4" i="36"/>
  <c r="C9" i="36"/>
  <c r="C12" i="36"/>
  <c r="C8" i="36"/>
  <c r="C2" i="31"/>
  <c r="B6" i="31"/>
  <c r="E6" i="31" s="1"/>
  <c r="B4" i="31"/>
  <c r="E4" i="31" s="1"/>
  <c r="B8" i="31"/>
  <c r="B3" i="31"/>
  <c r="E3" i="31" s="1"/>
  <c r="C23" i="14"/>
  <c r="E22" i="14"/>
  <c r="F23" i="14"/>
  <c r="D22" i="14"/>
  <c r="E23" i="14"/>
  <c r="A23" i="14"/>
  <c r="C22" i="14"/>
  <c r="A22" i="14"/>
  <c r="B23" i="14"/>
  <c r="D23" i="14"/>
  <c r="F22" i="14"/>
  <c r="C10" i="29"/>
  <c r="C9" i="29"/>
  <c r="D2" i="29"/>
  <c r="E2" i="29" s="1"/>
  <c r="F2" i="29" s="1"/>
  <c r="G2" i="29" s="1"/>
  <c r="C2" i="29"/>
  <c r="D11" i="36" l="1"/>
  <c r="D7" i="36"/>
  <c r="E4" i="36"/>
  <c r="D12" i="36"/>
  <c r="D8" i="36"/>
  <c r="D10" i="36"/>
  <c r="D6" i="36"/>
  <c r="D13" i="36"/>
  <c r="D9" i="36"/>
  <c r="D5" i="36"/>
  <c r="C8" i="31"/>
  <c r="F8" i="31" s="1"/>
  <c r="C4" i="31"/>
  <c r="F4" i="31" s="1"/>
  <c r="D2" i="31"/>
  <c r="C5" i="31"/>
  <c r="F5" i="31" s="1"/>
  <c r="C7" i="31"/>
  <c r="F7" i="31" s="1"/>
  <c r="C3" i="31"/>
  <c r="F3" i="31" s="1"/>
  <c r="C6" i="31"/>
  <c r="F6" i="31" s="1"/>
  <c r="K27" i="31"/>
  <c r="K24" i="31"/>
  <c r="K26" i="31"/>
  <c r="I18" i="31"/>
  <c r="K25" i="31"/>
  <c r="E8" i="31"/>
  <c r="C74" i="28"/>
  <c r="C73" i="28"/>
  <c r="C71" i="28"/>
  <c r="C33" i="28"/>
  <c r="C32" i="28"/>
  <c r="C31" i="28"/>
  <c r="C30" i="28"/>
  <c r="C29" i="28"/>
  <c r="C28" i="28"/>
  <c r="C27" i="28"/>
  <c r="C26" i="28"/>
  <c r="C25" i="28"/>
  <c r="D25" i="27"/>
  <c r="D23" i="27"/>
  <c r="E7" i="27"/>
  <c r="D7" i="27"/>
  <c r="D2" i="27"/>
  <c r="D28" i="28"/>
  <c r="D31" i="28"/>
  <c r="D32" i="28"/>
  <c r="D25" i="28"/>
  <c r="D29" i="28"/>
  <c r="D27" i="28"/>
  <c r="D26" i="28"/>
  <c r="D30" i="28"/>
  <c r="E6" i="27"/>
  <c r="D33" i="28"/>
  <c r="E12" i="36" l="1"/>
  <c r="E8" i="36"/>
  <c r="E13" i="36"/>
  <c r="E9" i="36"/>
  <c r="E5" i="36"/>
  <c r="E11" i="36"/>
  <c r="E7" i="36"/>
  <c r="F4" i="36"/>
  <c r="E10" i="36"/>
  <c r="E6" i="36"/>
  <c r="I20" i="31"/>
  <c r="I21" i="31" s="1"/>
  <c r="I22" i="31"/>
  <c r="D5" i="31"/>
  <c r="G5" i="31" s="1"/>
  <c r="D3" i="31"/>
  <c r="G3" i="31" s="1"/>
  <c r="D6" i="31"/>
  <c r="G6" i="31" s="1"/>
  <c r="D8" i="31"/>
  <c r="G8" i="31" s="1"/>
  <c r="D4" i="31"/>
  <c r="G4" i="31" s="1"/>
  <c r="D7" i="31"/>
  <c r="G7" i="31" s="1"/>
  <c r="D168" i="26"/>
  <c r="D167" i="26"/>
  <c r="D166" i="26"/>
  <c r="D165" i="26"/>
  <c r="D164" i="26"/>
  <c r="D144" i="26"/>
  <c r="D121" i="26"/>
  <c r="C120" i="26"/>
  <c r="D111" i="26"/>
  <c r="C111" i="26"/>
  <c r="D92" i="26"/>
  <c r="C92" i="26"/>
  <c r="E78" i="26"/>
  <c r="D78" i="26"/>
  <c r="E77" i="26"/>
  <c r="D77" i="26"/>
  <c r="E76" i="26"/>
  <c r="D76" i="26"/>
  <c r="E75" i="26"/>
  <c r="D75" i="26"/>
  <c r="E74" i="26"/>
  <c r="D74" i="26"/>
  <c r="E73" i="26"/>
  <c r="D73" i="26"/>
  <c r="D64" i="26"/>
  <c r="D63" i="26"/>
  <c r="D62" i="26"/>
  <c r="D61" i="26"/>
  <c r="D60" i="26"/>
  <c r="D59" i="26"/>
  <c r="C52" i="26"/>
  <c r="O51" i="26"/>
  <c r="C51" i="26"/>
  <c r="C50" i="26"/>
  <c r="C49" i="26"/>
  <c r="C48" i="26"/>
  <c r="C47" i="26"/>
  <c r="C40" i="26"/>
  <c r="C39" i="26"/>
  <c r="C38" i="26"/>
  <c r="C37" i="26"/>
  <c r="C36" i="26"/>
  <c r="C35" i="26"/>
  <c r="C34" i="26"/>
  <c r="C33" i="26"/>
  <c r="C32" i="26"/>
  <c r="C31" i="26"/>
  <c r="C30" i="26"/>
  <c r="C29" i="26"/>
  <c r="C28" i="26"/>
  <c r="C27" i="26"/>
  <c r="C26" i="26"/>
  <c r="C25" i="26"/>
  <c r="C8" i="26"/>
  <c r="C12" i="26" s="1"/>
  <c r="D110" i="3"/>
  <c r="E6" i="4"/>
  <c r="F13" i="36" l="1"/>
  <c r="F9" i="36"/>
  <c r="F5" i="36"/>
  <c r="F10" i="36"/>
  <c r="F6" i="36"/>
  <c r="F12" i="36"/>
  <c r="F8" i="36"/>
  <c r="F11" i="36"/>
  <c r="F7" i="36"/>
  <c r="G4" i="36"/>
  <c r="B14" i="85"/>
  <c r="B14" i="84"/>
  <c r="C52" i="83"/>
  <c r="C51" i="83"/>
  <c r="C50" i="83"/>
  <c r="C49" i="83"/>
  <c r="C48" i="83"/>
  <c r="C47" i="83"/>
  <c r="C46" i="83"/>
  <c r="C45" i="83"/>
  <c r="C44" i="83"/>
  <c r="C43" i="83"/>
  <c r="C42" i="83"/>
  <c r="C41" i="83"/>
  <c r="C40" i="83"/>
  <c r="C39" i="83"/>
  <c r="C38" i="83"/>
  <c r="C37" i="83"/>
  <c r="C36" i="83"/>
  <c r="C35" i="83"/>
  <c r="C34" i="83"/>
  <c r="C33" i="83"/>
  <c r="C32" i="83"/>
  <c r="C31" i="83"/>
  <c r="C30" i="83"/>
  <c r="C29" i="83"/>
  <c r="C28" i="83"/>
  <c r="C27" i="83"/>
  <c r="C26" i="83"/>
  <c r="C25" i="83"/>
  <c r="C24" i="83"/>
  <c r="C23" i="83"/>
  <c r="C22" i="83"/>
  <c r="C21" i="83"/>
  <c r="C20" i="83"/>
  <c r="C19" i="83"/>
  <c r="C18" i="83"/>
  <c r="C17" i="83"/>
  <c r="C16" i="83"/>
  <c r="C15" i="83"/>
  <c r="C14" i="83"/>
  <c r="C13" i="83"/>
  <c r="C12" i="83"/>
  <c r="C11" i="83"/>
  <c r="C10" i="83"/>
  <c r="C9" i="83"/>
  <c r="C8" i="83"/>
  <c r="C7" i="83"/>
  <c r="C6" i="83"/>
  <c r="C5" i="83"/>
  <c r="D19" i="80"/>
  <c r="C19" i="80"/>
  <c r="B19" i="80"/>
  <c r="A19" i="80"/>
  <c r="D18" i="80"/>
  <c r="C18" i="80"/>
  <c r="B18" i="80"/>
  <c r="A18" i="80"/>
  <c r="D17" i="80"/>
  <c r="C17" i="80"/>
  <c r="B17" i="80"/>
  <c r="A17" i="80"/>
  <c r="D16" i="80"/>
  <c r="D20" i="80" s="1"/>
  <c r="D21" i="80" s="1"/>
  <c r="C16" i="80"/>
  <c r="C20" i="80" s="1"/>
  <c r="C21" i="80" s="1"/>
  <c r="B16" i="80"/>
  <c r="B20" i="80" s="1"/>
  <c r="B21" i="80" s="1"/>
  <c r="A16" i="80"/>
  <c r="F7" i="80"/>
  <c r="E7" i="80"/>
  <c r="D7" i="80"/>
  <c r="C7" i="80"/>
  <c r="G7" i="80" s="1"/>
  <c r="H7" i="80" s="1"/>
  <c r="F6" i="80"/>
  <c r="E6" i="80"/>
  <c r="D6" i="80"/>
  <c r="C6" i="80"/>
  <c r="G6" i="80" s="1"/>
  <c r="H6" i="80" s="1"/>
  <c r="F5" i="80"/>
  <c r="E5" i="80"/>
  <c r="D5" i="80"/>
  <c r="C5" i="80"/>
  <c r="G5" i="80" s="1"/>
  <c r="H5" i="80" s="1"/>
  <c r="F4" i="80"/>
  <c r="E4" i="80"/>
  <c r="D4" i="80"/>
  <c r="C4" i="80"/>
  <c r="G15" i="78"/>
  <c r="F15" i="78"/>
  <c r="E15" i="78"/>
  <c r="D15" i="78"/>
  <c r="C15" i="78"/>
  <c r="B15" i="78"/>
  <c r="G14" i="78"/>
  <c r="F14" i="78"/>
  <c r="E14" i="78"/>
  <c r="D14" i="78"/>
  <c r="C14" i="78"/>
  <c r="B14" i="78"/>
  <c r="G13" i="78"/>
  <c r="F13" i="78"/>
  <c r="E13" i="78"/>
  <c r="D13" i="78"/>
  <c r="C13" i="78"/>
  <c r="B13" i="78"/>
  <c r="G12" i="78"/>
  <c r="F12" i="78"/>
  <c r="E12" i="78"/>
  <c r="D12" i="78"/>
  <c r="C12" i="78"/>
  <c r="B12" i="78"/>
  <c r="G11" i="78"/>
  <c r="F11" i="78"/>
  <c r="E11" i="78"/>
  <c r="D11" i="78"/>
  <c r="C11" i="78"/>
  <c r="B11" i="78"/>
  <c r="G10" i="78"/>
  <c r="F10" i="78"/>
  <c r="E10" i="78"/>
  <c r="D10" i="78"/>
  <c r="C10" i="78"/>
  <c r="B10" i="78"/>
  <c r="G9" i="78"/>
  <c r="F9" i="78"/>
  <c r="E9" i="78"/>
  <c r="D9" i="78"/>
  <c r="C9" i="78"/>
  <c r="B9" i="78"/>
  <c r="G8" i="78"/>
  <c r="F8" i="78"/>
  <c r="E8" i="78"/>
  <c r="D8" i="78"/>
  <c r="C8" i="78"/>
  <c r="B8" i="78"/>
  <c r="G7" i="78"/>
  <c r="F7" i="78"/>
  <c r="E7" i="78"/>
  <c r="D7" i="78"/>
  <c r="C7" i="78"/>
  <c r="B7" i="78"/>
  <c r="G6" i="78"/>
  <c r="G16" i="78" s="1"/>
  <c r="G17" i="78" s="1"/>
  <c r="F6" i="78"/>
  <c r="E6" i="78"/>
  <c r="D6" i="78"/>
  <c r="C6" i="78"/>
  <c r="C16" i="78" s="1"/>
  <c r="C17" i="78" s="1"/>
  <c r="B6" i="78"/>
  <c r="G5" i="78"/>
  <c r="F5" i="78"/>
  <c r="F16" i="78" s="1"/>
  <c r="F17" i="78" s="1"/>
  <c r="E5" i="78"/>
  <c r="E16" i="78" s="1"/>
  <c r="E17" i="78" s="1"/>
  <c r="D5" i="78"/>
  <c r="D16" i="78" s="1"/>
  <c r="D17" i="78" s="1"/>
  <c r="C5" i="78"/>
  <c r="B5" i="78"/>
  <c r="B16" i="78" s="1"/>
  <c r="B17" i="78" s="1"/>
  <c r="J16" i="76"/>
  <c r="G15" i="76"/>
  <c r="F15" i="76"/>
  <c r="E15" i="76"/>
  <c r="D15" i="76"/>
  <c r="C15" i="76"/>
  <c r="B15" i="76"/>
  <c r="G14" i="76"/>
  <c r="F14" i="76"/>
  <c r="E14" i="76"/>
  <c r="D14" i="76"/>
  <c r="C14" i="76"/>
  <c r="B14" i="76"/>
  <c r="G13" i="76"/>
  <c r="F13" i="76"/>
  <c r="E13" i="76"/>
  <c r="D13" i="76"/>
  <c r="C13" i="76"/>
  <c r="B13" i="76"/>
  <c r="G12" i="76"/>
  <c r="F12" i="76"/>
  <c r="E12" i="76"/>
  <c r="D12" i="76"/>
  <c r="C12" i="76"/>
  <c r="B12" i="76"/>
  <c r="G11" i="76"/>
  <c r="F11" i="76"/>
  <c r="E11" i="76"/>
  <c r="D11" i="76"/>
  <c r="C11" i="76"/>
  <c r="B11" i="76"/>
  <c r="G10" i="76"/>
  <c r="F10" i="76"/>
  <c r="E10" i="76"/>
  <c r="D10" i="76"/>
  <c r="C10" i="76"/>
  <c r="B10" i="76"/>
  <c r="G9" i="76"/>
  <c r="F9" i="76"/>
  <c r="E9" i="76"/>
  <c r="D9" i="76"/>
  <c r="C9" i="76"/>
  <c r="B9" i="76"/>
  <c r="G8" i="76"/>
  <c r="F8" i="76"/>
  <c r="E8" i="76"/>
  <c r="D8" i="76"/>
  <c r="C8" i="76"/>
  <c r="B8" i="76"/>
  <c r="G7" i="76"/>
  <c r="F7" i="76"/>
  <c r="E7" i="76"/>
  <c r="D7" i="76"/>
  <c r="C7" i="76"/>
  <c r="B7" i="76"/>
  <c r="G6" i="76"/>
  <c r="F6" i="76"/>
  <c r="F16" i="76" s="1"/>
  <c r="F17" i="76" s="1"/>
  <c r="E6" i="76"/>
  <c r="D6" i="76"/>
  <c r="C6" i="76"/>
  <c r="B6" i="76"/>
  <c r="B16" i="76" s="1"/>
  <c r="B17" i="76" s="1"/>
  <c r="G5" i="76"/>
  <c r="G16" i="76" s="1"/>
  <c r="G17" i="76" s="1"/>
  <c r="F5" i="76"/>
  <c r="E5" i="76"/>
  <c r="E16" i="76" s="1"/>
  <c r="E17" i="76" s="1"/>
  <c r="D5" i="76"/>
  <c r="D16" i="76" s="1"/>
  <c r="D17" i="76" s="1"/>
  <c r="C5" i="76"/>
  <c r="C16" i="76" s="1"/>
  <c r="C17" i="76" s="1"/>
  <c r="B5" i="76"/>
  <c r="J12" i="74"/>
  <c r="I12" i="74"/>
  <c r="H12" i="74"/>
  <c r="G12" i="74"/>
  <c r="F12" i="74"/>
  <c r="E12" i="74"/>
  <c r="D12" i="74"/>
  <c r="J11" i="74"/>
  <c r="I11" i="74"/>
  <c r="H11" i="74"/>
  <c r="G11" i="74"/>
  <c r="F11" i="74"/>
  <c r="E11" i="74"/>
  <c r="D11" i="74"/>
  <c r="J10" i="74"/>
  <c r="I10" i="74"/>
  <c r="H10" i="74"/>
  <c r="G10" i="74"/>
  <c r="F10" i="74"/>
  <c r="E10" i="74"/>
  <c r="D10" i="74"/>
  <c r="J9" i="74"/>
  <c r="I9" i="74"/>
  <c r="H9" i="74"/>
  <c r="G9" i="74"/>
  <c r="F9" i="74"/>
  <c r="E9" i="74"/>
  <c r="D9" i="74"/>
  <c r="J8" i="74"/>
  <c r="I8" i="74"/>
  <c r="H8" i="74"/>
  <c r="G8" i="74"/>
  <c r="F8" i="74"/>
  <c r="E8" i="74"/>
  <c r="D8" i="74"/>
  <c r="J7" i="74"/>
  <c r="I7" i="74"/>
  <c r="H7" i="74"/>
  <c r="G7" i="74"/>
  <c r="F7" i="74"/>
  <c r="E7" i="74"/>
  <c r="D7" i="74"/>
  <c r="J6" i="74"/>
  <c r="I6" i="74"/>
  <c r="H6" i="74"/>
  <c r="G6" i="74"/>
  <c r="F6" i="74"/>
  <c r="E6" i="74"/>
  <c r="D6" i="74"/>
  <c r="J5" i="74"/>
  <c r="I5" i="74"/>
  <c r="H5" i="74"/>
  <c r="G5" i="74"/>
  <c r="F5" i="74"/>
  <c r="E5" i="74"/>
  <c r="D5" i="74"/>
  <c r="J4" i="74"/>
  <c r="I4" i="74"/>
  <c r="H4" i="74"/>
  <c r="G4" i="74"/>
  <c r="F4" i="74"/>
  <c r="E4" i="74"/>
  <c r="D4" i="74"/>
  <c r="J3" i="74"/>
  <c r="I3" i="74"/>
  <c r="H3" i="74"/>
  <c r="G3" i="74"/>
  <c r="F3" i="74"/>
  <c r="E3" i="74"/>
  <c r="D3" i="74"/>
  <c r="J3" i="73"/>
  <c r="I3" i="73"/>
  <c r="H3" i="73"/>
  <c r="G3" i="73"/>
  <c r="F3" i="73"/>
  <c r="E3" i="73"/>
  <c r="D3" i="73"/>
  <c r="B8" i="72"/>
  <c r="B7" i="72"/>
  <c r="B6" i="72"/>
  <c r="B5" i="72"/>
  <c r="B4" i="72"/>
  <c r="B9" i="72" s="1"/>
  <c r="K8" i="70"/>
  <c r="J8" i="70"/>
  <c r="I8" i="70"/>
  <c r="H8" i="70"/>
  <c r="G8" i="70"/>
  <c r="F8" i="70"/>
  <c r="E8" i="70"/>
  <c r="D8" i="70"/>
  <c r="C8" i="70"/>
  <c r="B8" i="70"/>
  <c r="B14" i="68"/>
  <c r="C4" i="68"/>
  <c r="C9" i="68" s="1"/>
  <c r="F9" i="68" s="1"/>
  <c r="B14" i="67"/>
  <c r="C5" i="67"/>
  <c r="D4" i="67"/>
  <c r="E4" i="67" s="1"/>
  <c r="C4" i="67"/>
  <c r="B8" i="66"/>
  <c r="E14" i="64"/>
  <c r="E13" i="64"/>
  <c r="E12" i="64"/>
  <c r="E11" i="64"/>
  <c r="E10" i="64"/>
  <c r="E9" i="64"/>
  <c r="E8" i="64"/>
  <c r="E7" i="64"/>
  <c r="E6" i="64"/>
  <c r="E5" i="64"/>
  <c r="E4" i="64"/>
  <c r="D9" i="62"/>
  <c r="D8" i="62"/>
  <c r="D7" i="62"/>
  <c r="D6" i="62"/>
  <c r="D5" i="62"/>
  <c r="D4" i="62"/>
  <c r="D12" i="60"/>
  <c r="D11" i="60"/>
  <c r="D10" i="60"/>
  <c r="D9" i="60"/>
  <c r="D8" i="60"/>
  <c r="D7" i="60"/>
  <c r="D6" i="60"/>
  <c r="D5" i="60"/>
  <c r="D14" i="60" s="1"/>
  <c r="D4" i="60"/>
  <c r="B13" i="58"/>
  <c r="B11" i="58"/>
  <c r="B5" i="58"/>
  <c r="B4" i="56"/>
  <c r="A4" i="56"/>
  <c r="E8" i="54"/>
  <c r="E7" i="54"/>
  <c r="E6" i="54"/>
  <c r="E5" i="54"/>
  <c r="C9" i="52"/>
  <c r="C6" i="52"/>
  <c r="C5" i="52"/>
  <c r="B25" i="50"/>
  <c r="B23" i="50"/>
  <c r="A23" i="50"/>
  <c r="D22" i="50"/>
  <c r="D21" i="50"/>
  <c r="D20" i="50"/>
  <c r="D19" i="50"/>
  <c r="D18" i="50"/>
  <c r="D17" i="50"/>
  <c r="B10" i="50"/>
  <c r="A10" i="50"/>
  <c r="B12" i="50" s="1"/>
  <c r="D9" i="50"/>
  <c r="D8" i="50"/>
  <c r="D7" i="50"/>
  <c r="D6" i="50"/>
  <c r="D5" i="50"/>
  <c r="D4" i="50"/>
  <c r="B10" i="49"/>
  <c r="A10" i="49"/>
  <c r="B12" i="49" s="1"/>
  <c r="B8" i="48"/>
  <c r="A1" i="48"/>
  <c r="A1" i="47" s="1"/>
  <c r="B15" i="46"/>
  <c r="B9" i="46"/>
  <c r="B6" i="46"/>
  <c r="A5" i="46"/>
  <c r="A4" i="46"/>
  <c r="A5" i="45"/>
  <c r="A4" i="45"/>
  <c r="B13" i="44"/>
  <c r="B9" i="44"/>
  <c r="B5" i="44"/>
  <c r="G10" i="36" l="1"/>
  <c r="G6" i="36"/>
  <c r="G11" i="36"/>
  <c r="G7" i="36"/>
  <c r="G13" i="36"/>
  <c r="G9" i="36"/>
  <c r="G5" i="36"/>
  <c r="G12" i="36"/>
  <c r="G8" i="36"/>
  <c r="D4" i="68"/>
  <c r="C6" i="68"/>
  <c r="F6" i="68" s="1"/>
  <c r="C8" i="68"/>
  <c r="F8" i="68" s="1"/>
  <c r="C10" i="68"/>
  <c r="F10" i="68" s="1"/>
  <c r="C5" i="68"/>
  <c r="F5" i="68" s="1"/>
  <c r="C7" i="68"/>
  <c r="F7" i="68" s="1"/>
  <c r="D9" i="68" l="1"/>
  <c r="G9" i="68" s="1"/>
  <c r="D7" i="68"/>
  <c r="G7" i="68" s="1"/>
  <c r="D5" i="68"/>
  <c r="G5" i="68" s="1"/>
  <c r="D10" i="68"/>
  <c r="G10" i="68" s="1"/>
  <c r="D8" i="68"/>
  <c r="G8" i="68" s="1"/>
  <c r="D6" i="68"/>
  <c r="G6" i="68" s="1"/>
  <c r="E4" i="68"/>
  <c r="E10" i="68" l="1"/>
  <c r="H10" i="68" s="1"/>
  <c r="E8" i="68"/>
  <c r="H8" i="68" s="1"/>
  <c r="E6" i="68"/>
  <c r="H6" i="68" s="1"/>
  <c r="E9" i="68"/>
  <c r="H9" i="68" s="1"/>
  <c r="E7" i="68"/>
  <c r="H7" i="68" s="1"/>
  <c r="E5" i="68"/>
  <c r="H5" i="68" s="1"/>
  <c r="B11" i="25" l="1"/>
  <c r="E1" i="8" l="1"/>
  <c r="I24" i="8" l="1"/>
  <c r="I19" i="8" l="1"/>
  <c r="E9" i="22"/>
  <c r="D9" i="22"/>
  <c r="C9" i="22"/>
  <c r="B9" i="22"/>
  <c r="F9" i="22" s="1"/>
  <c r="F8" i="22"/>
  <c r="F7" i="22"/>
  <c r="F6" i="22"/>
  <c r="F5" i="22"/>
  <c r="F4" i="22"/>
  <c r="F3" i="22"/>
  <c r="A1" i="22"/>
  <c r="E9" i="21"/>
  <c r="D9" i="21"/>
  <c r="C9" i="21"/>
  <c r="B9" i="21"/>
  <c r="F9" i="21" s="1"/>
  <c r="F8" i="21"/>
  <c r="F7" i="21"/>
  <c r="F6" i="21"/>
  <c r="F5" i="21"/>
  <c r="F4" i="21"/>
  <c r="F3" i="21"/>
  <c r="A1" i="21"/>
  <c r="E9" i="20"/>
  <c r="D9" i="20"/>
  <c r="C9" i="20"/>
  <c r="B9" i="20"/>
  <c r="F9" i="20" s="1"/>
  <c r="F8" i="20"/>
  <c r="F7" i="20"/>
  <c r="F6" i="20"/>
  <c r="F5" i="20"/>
  <c r="F4" i="20"/>
  <c r="F3" i="20"/>
  <c r="A1" i="20"/>
  <c r="E9" i="19"/>
  <c r="D9" i="19"/>
  <c r="C9" i="19"/>
  <c r="B9" i="19"/>
  <c r="F8" i="19"/>
  <c r="F7" i="19"/>
  <c r="F6" i="19"/>
  <c r="F5" i="19"/>
  <c r="F4" i="19"/>
  <c r="F3" i="19"/>
  <c r="A1" i="19"/>
  <c r="B10" i="18"/>
  <c r="A5" i="17"/>
  <c r="G10" i="14"/>
  <c r="G11" i="14" s="1"/>
  <c r="F10" i="14"/>
  <c r="F11" i="14" s="1"/>
  <c r="E10" i="14"/>
  <c r="E11" i="14" s="1"/>
  <c r="D10" i="14"/>
  <c r="D11" i="14" s="1"/>
  <c r="C10" i="14"/>
  <c r="C11" i="14" s="1"/>
  <c r="B10" i="14"/>
  <c r="B11" i="14" s="1"/>
  <c r="H9" i="14"/>
  <c r="A9" i="14"/>
  <c r="H8" i="14"/>
  <c r="A8" i="14"/>
  <c r="H7" i="14"/>
  <c r="A7" i="14"/>
  <c r="H6" i="14"/>
  <c r="A6" i="14"/>
  <c r="H5" i="14"/>
  <c r="A5" i="14"/>
  <c r="H4" i="14"/>
  <c r="A4" i="14"/>
  <c r="H3" i="14"/>
  <c r="N39" i="13"/>
  <c r="M39" i="13"/>
  <c r="L39" i="13"/>
  <c r="K39" i="13"/>
  <c r="N38" i="13"/>
  <c r="M38" i="13"/>
  <c r="L38" i="13"/>
  <c r="K38" i="13"/>
  <c r="N37" i="13"/>
  <c r="M37" i="13"/>
  <c r="L37" i="13"/>
  <c r="K37" i="13"/>
  <c r="N36" i="13"/>
  <c r="M36" i="13"/>
  <c r="L36" i="13"/>
  <c r="K36" i="13"/>
  <c r="N35" i="13"/>
  <c r="M35" i="13"/>
  <c r="L35" i="13"/>
  <c r="K35" i="13"/>
  <c r="L8" i="13"/>
  <c r="J8" i="13"/>
  <c r="L7" i="13"/>
  <c r="J7" i="13"/>
  <c r="L6" i="13"/>
  <c r="J6" i="13"/>
  <c r="L5" i="13"/>
  <c r="J5" i="13"/>
  <c r="L4" i="13"/>
  <c r="J4" i="13"/>
  <c r="L3" i="13"/>
  <c r="J3" i="13"/>
  <c r="L2" i="13"/>
  <c r="J2" i="13"/>
  <c r="B15" i="12"/>
  <c r="B14" i="12"/>
  <c r="B13" i="12"/>
  <c r="B12" i="12"/>
  <c r="B11" i="12"/>
  <c r="B10" i="12"/>
  <c r="B9" i="12"/>
  <c r="B8" i="12"/>
  <c r="B7" i="12"/>
  <c r="B6" i="12"/>
  <c r="B5" i="12"/>
  <c r="B4" i="12"/>
  <c r="N3" i="12"/>
  <c r="M3" i="12"/>
  <c r="L3" i="12"/>
  <c r="K3" i="12"/>
  <c r="J3" i="12"/>
  <c r="I3" i="12"/>
  <c r="H3" i="12"/>
  <c r="G3" i="12"/>
  <c r="F3" i="12"/>
  <c r="E3" i="12"/>
  <c r="D3" i="12"/>
  <c r="C3" i="12"/>
  <c r="A5" i="11"/>
  <c r="A6" i="11" s="1"/>
  <c r="A7" i="11" s="1"/>
  <c r="A8" i="11" s="1"/>
  <c r="A9" i="11" s="1"/>
  <c r="A10" i="11" s="1"/>
  <c r="A11" i="11" s="1"/>
  <c r="A12" i="11" s="1"/>
  <c r="A13" i="11" s="1"/>
  <c r="B4" i="11"/>
  <c r="A19" i="8"/>
  <c r="A8" i="8"/>
  <c r="A7" i="8"/>
  <c r="A6" i="8"/>
  <c r="A5" i="8"/>
  <c r="A4" i="8"/>
  <c r="A3" i="8"/>
  <c r="B2" i="8"/>
  <c r="C73" i="5"/>
  <c r="C74" i="5"/>
  <c r="C71" i="5"/>
  <c r="D33" i="5"/>
  <c r="D32" i="5"/>
  <c r="D31" i="5"/>
  <c r="D30" i="5"/>
  <c r="D29" i="5"/>
  <c r="D28" i="5"/>
  <c r="D27" i="5"/>
  <c r="D26" i="5"/>
  <c r="D25" i="5"/>
  <c r="C4" i="11" l="1"/>
  <c r="B8" i="8"/>
  <c r="I25" i="8"/>
  <c r="F9" i="19"/>
  <c r="I18" i="8"/>
  <c r="I20" i="8" s="1"/>
  <c r="I21" i="8" s="1"/>
  <c r="K27" i="8"/>
  <c r="K26" i="8"/>
  <c r="C2" i="8"/>
  <c r="C6" i="8" s="1"/>
  <c r="B3" i="8"/>
  <c r="B4" i="8"/>
  <c r="B5" i="8"/>
  <c r="B6" i="8"/>
  <c r="B7" i="8"/>
  <c r="H10" i="14"/>
  <c r="H11" i="14" s="1"/>
  <c r="D4" i="11" l="1"/>
  <c r="K25" i="8"/>
  <c r="K24" i="8"/>
  <c r="C4" i="8"/>
  <c r="I22" i="8"/>
  <c r="C3" i="8"/>
  <c r="C5" i="8"/>
  <c r="C7" i="8"/>
  <c r="D2" i="8"/>
  <c r="D8" i="8" s="1"/>
  <c r="C8" i="8"/>
  <c r="E4" i="11" l="1"/>
  <c r="D3" i="8"/>
  <c r="D4" i="8"/>
  <c r="D5" i="8"/>
  <c r="D6" i="8"/>
  <c r="D7" i="8"/>
  <c r="O51" i="3"/>
  <c r="F4" i="11" l="1"/>
  <c r="D56" i="2"/>
  <c r="G4" i="11" l="1"/>
</calcChain>
</file>

<file path=xl/sharedStrings.xml><?xml version="1.0" encoding="utf-8"?>
<sst xmlns="http://schemas.openxmlformats.org/spreadsheetml/2006/main" count="4582" uniqueCount="747">
  <si>
    <t>Formula Elements</t>
  </si>
  <si>
    <t>Formula Types</t>
  </si>
  <si>
    <t>Cell References</t>
  </si>
  <si>
    <t>Scenario Manager</t>
  </si>
  <si>
    <t>Topics:</t>
  </si>
  <si>
    <t>Assumption Tables
(Formula Elements)</t>
  </si>
  <si>
    <t>Excel's Golden Rule. (Dan Bricklin and Bob Frankston).</t>
  </si>
  <si>
    <t>Excel's Golden Rule: If formula input data can change, put it in cell and refer to it with cell references.</t>
  </si>
  <si>
    <t>If data will not change, you can hard code it into formula.</t>
  </si>
  <si>
    <t>AND always label the formula elements and the cells with the calculations.</t>
  </si>
  <si>
    <t>Types of Formulas.</t>
  </si>
  <si>
    <r>
      <rPr>
        <b/>
        <sz val="11"/>
        <color theme="1"/>
        <rFont val="Calibri"/>
        <family val="2"/>
        <scheme val="minor"/>
      </rPr>
      <t>Calculating Formulas</t>
    </r>
    <r>
      <rPr>
        <sz val="11"/>
        <color theme="1"/>
        <rFont val="Calibri"/>
        <family val="2"/>
        <scheme val="minor"/>
      </rPr>
      <t xml:space="preserve"> that calculate a number answer (like adding)</t>
    </r>
  </si>
  <si>
    <r>
      <rPr>
        <b/>
        <sz val="11"/>
        <color theme="1"/>
        <rFont val="Calibri"/>
        <family val="2"/>
        <scheme val="minor"/>
      </rPr>
      <t>Logical Formulas</t>
    </r>
    <r>
      <rPr>
        <sz val="11"/>
        <color theme="1"/>
        <rFont val="Calibri"/>
        <family val="2"/>
        <scheme val="minor"/>
      </rPr>
      <t xml:space="preserve"> that give you a logical value, either TRUE or FALSE (like formulas that say whether two accounts are in balance)</t>
    </r>
  </si>
  <si>
    <r>
      <rPr>
        <b/>
        <sz val="11"/>
        <color theme="1"/>
        <rFont val="Calibri"/>
        <family val="2"/>
        <scheme val="minor"/>
      </rPr>
      <t>Text Formulas</t>
    </r>
    <r>
      <rPr>
        <sz val="11"/>
        <color theme="1"/>
        <rFont val="Calibri"/>
        <family val="2"/>
        <scheme val="minor"/>
      </rPr>
      <t xml:space="preserve"> that deliver a word to a cell or create labels for reports (like a label for a loan payment).</t>
    </r>
  </si>
  <si>
    <r>
      <rPr>
        <b/>
        <sz val="11"/>
        <color theme="1"/>
        <rFont val="Calibri"/>
        <family val="2"/>
        <scheme val="minor"/>
      </rPr>
      <t>Lookup Formulas</t>
    </r>
    <r>
      <rPr>
        <sz val="11"/>
        <color theme="1"/>
        <rFont val="Calibri"/>
        <family val="2"/>
        <scheme val="minor"/>
      </rPr>
      <t xml:space="preserve"> that look up an item in a table (like looking up a price for a product).</t>
    </r>
  </si>
  <si>
    <t>Array formulas can deliver results that are calculating, logical, text, or lookup.</t>
  </si>
  <si>
    <t>Formula Elements.</t>
  </si>
  <si>
    <r>
      <rPr>
        <b/>
        <sz val="11"/>
        <color theme="1"/>
        <rFont val="Calibri"/>
        <family val="2"/>
        <scheme val="minor"/>
      </rPr>
      <t>Equal sign</t>
    </r>
    <r>
      <rPr>
        <sz val="11"/>
        <color theme="1"/>
        <rFont val="Calibri"/>
        <family val="2"/>
        <scheme val="minor"/>
      </rPr>
      <t xml:space="preserve"> (starts all formulas).</t>
    </r>
  </si>
  <si>
    <r>
      <rPr>
        <b/>
        <sz val="11"/>
        <color theme="1"/>
        <rFont val="Calibri"/>
        <family val="2"/>
        <scheme val="minor"/>
      </rPr>
      <t>Cell references</t>
    </r>
    <r>
      <rPr>
        <sz val="11"/>
        <color theme="1"/>
        <rFont val="Calibri"/>
        <family val="2"/>
        <scheme val="minor"/>
      </rPr>
      <t xml:space="preserve"> (also defined names, sheet references, workbook references, table nomenclature).</t>
    </r>
  </si>
  <si>
    <r>
      <rPr>
        <b/>
        <sz val="11"/>
        <color theme="1"/>
        <rFont val="Calibri"/>
        <family val="2"/>
        <scheme val="minor"/>
      </rPr>
      <t>Math operators</t>
    </r>
    <r>
      <rPr>
        <sz val="11"/>
        <color theme="1"/>
        <rFont val="Calibri"/>
        <family val="2"/>
        <scheme val="minor"/>
      </rPr>
      <t>.</t>
    </r>
  </si>
  <si>
    <r>
      <rPr>
        <b/>
        <sz val="11"/>
        <color theme="1"/>
        <rFont val="Calibri"/>
        <family val="2"/>
        <scheme val="minor"/>
      </rPr>
      <t>Numbers</t>
    </r>
    <r>
      <rPr>
        <sz val="11"/>
        <color theme="1"/>
        <rFont val="Calibri"/>
        <family val="2"/>
        <scheme val="minor"/>
      </rPr>
      <t xml:space="preserve"> (if the number will not change; for example, 12 months, 24 hours).</t>
    </r>
  </si>
  <si>
    <r>
      <rPr>
        <b/>
        <sz val="11"/>
        <color theme="1"/>
        <rFont val="Calibri"/>
        <family val="2"/>
        <scheme val="minor"/>
      </rPr>
      <t>Functions</t>
    </r>
    <r>
      <rPr>
        <sz val="11"/>
        <color theme="1"/>
        <rFont val="Calibri"/>
        <family val="2"/>
        <scheme val="minor"/>
      </rPr>
      <t xml:space="preserve"> (IF, MATCH, INDEX, COUNTIF, and so on).</t>
    </r>
  </si>
  <si>
    <r>
      <rPr>
        <b/>
        <sz val="11"/>
        <color theme="1"/>
        <rFont val="Calibri"/>
        <family val="2"/>
        <scheme val="minor"/>
      </rPr>
      <t>Comparative operators</t>
    </r>
    <r>
      <rPr>
        <sz val="11"/>
        <color theme="1"/>
        <rFont val="Calibri"/>
        <family val="2"/>
        <scheme val="minor"/>
      </rPr>
      <t>.</t>
    </r>
  </si>
  <si>
    <r>
      <rPr>
        <b/>
        <sz val="11"/>
        <color theme="1"/>
        <rFont val="Calibri"/>
        <family val="2"/>
        <scheme val="minor"/>
      </rPr>
      <t>Join operator: Ampersand</t>
    </r>
    <r>
      <rPr>
        <sz val="11"/>
        <color theme="1"/>
        <rFont val="Calibri"/>
        <family val="2"/>
        <scheme val="minor"/>
      </rPr>
      <t xml:space="preserve"> (join symbol: &amp;).</t>
    </r>
  </si>
  <si>
    <r>
      <rPr>
        <b/>
        <sz val="11"/>
        <color theme="1"/>
        <rFont val="Calibri"/>
        <family val="2"/>
        <scheme val="minor"/>
      </rPr>
      <t>Text within quotation marks</t>
    </r>
    <r>
      <rPr>
        <sz val="11"/>
        <color theme="1"/>
        <rFont val="Calibri"/>
        <family val="2"/>
        <scheme val="minor"/>
      </rPr>
      <t xml:space="preserve"> (for example, "For the Month Ended").</t>
    </r>
  </si>
  <si>
    <r>
      <rPr>
        <b/>
        <sz val="11"/>
        <color theme="1"/>
        <rFont val="Calibri"/>
        <family val="2"/>
        <scheme val="minor"/>
      </rPr>
      <t>Array constants</t>
    </r>
    <r>
      <rPr>
        <sz val="11"/>
        <color theme="1"/>
        <rFont val="Calibri"/>
        <family val="2"/>
        <scheme val="minor"/>
      </rPr>
      <t xml:space="preserve"> (for example, {1,2,3}).</t>
    </r>
  </si>
  <si>
    <t>Math Operators.</t>
  </si>
  <si>
    <t>+</t>
  </si>
  <si>
    <t>Adding.</t>
  </si>
  <si>
    <t>-</t>
  </si>
  <si>
    <t>Subtracting or Negation.</t>
  </si>
  <si>
    <t>*</t>
  </si>
  <si>
    <t>Multiplying.</t>
  </si>
  <si>
    <t>/</t>
  </si>
  <si>
    <t>Dividing.</t>
  </si>
  <si>
    <t>^</t>
  </si>
  <si>
    <t>Raising to an exponent.</t>
  </si>
  <si>
    <t>( )</t>
  </si>
  <si>
    <t>Parentheses.</t>
  </si>
  <si>
    <t>Comparative Operators.</t>
  </si>
  <si>
    <t>=</t>
  </si>
  <si>
    <r>
      <rPr>
        <b/>
        <sz val="11"/>
        <color theme="1"/>
        <rFont val="Calibri"/>
        <family val="2"/>
        <scheme val="minor"/>
      </rPr>
      <t>Equal</t>
    </r>
    <r>
      <rPr>
        <sz val="11"/>
        <color theme="1"/>
        <rFont val="Calibri"/>
        <family val="2"/>
        <scheme val="minor"/>
      </rPr>
      <t>: are two things equal?</t>
    </r>
  </si>
  <si>
    <t>&lt;&gt;</t>
  </si>
  <si>
    <r>
      <rPr>
        <b/>
        <sz val="11"/>
        <color theme="1"/>
        <rFont val="Calibri"/>
        <family val="2"/>
        <scheme val="minor"/>
      </rPr>
      <t>Not</t>
    </r>
    <r>
      <rPr>
        <sz val="11"/>
        <color theme="1"/>
        <rFont val="Calibri"/>
        <family val="2"/>
        <scheme val="minor"/>
      </rPr>
      <t>: are two things not equal? Type less than symbol, then greater than symbol.</t>
    </r>
  </si>
  <si>
    <t>&gt;</t>
  </si>
  <si>
    <r>
      <rPr>
        <b/>
        <sz val="11"/>
        <color theme="1"/>
        <rFont val="Calibri"/>
        <family val="2"/>
        <scheme val="minor"/>
      </rPr>
      <t>Greater than</t>
    </r>
    <r>
      <rPr>
        <sz val="11"/>
        <color theme="1"/>
        <rFont val="Calibri"/>
        <family val="2"/>
        <scheme val="minor"/>
      </rPr>
      <t>: is the thing on the left greater than the thing on the right?</t>
    </r>
  </si>
  <si>
    <t>&gt;=</t>
  </si>
  <si>
    <r>
      <rPr>
        <b/>
        <sz val="11"/>
        <color theme="1"/>
        <rFont val="Calibri"/>
        <family val="2"/>
        <scheme val="minor"/>
      </rPr>
      <t>Greater than or equal to</t>
    </r>
    <r>
      <rPr>
        <sz val="11"/>
        <color theme="1"/>
        <rFont val="Calibri"/>
        <family val="2"/>
        <scheme val="minor"/>
      </rPr>
      <t>: is the thing on the left greater than or equal to the thing on the right?</t>
    </r>
  </si>
  <si>
    <t>&lt;</t>
  </si>
  <si>
    <r>
      <rPr>
        <b/>
        <sz val="11"/>
        <color theme="1"/>
        <rFont val="Calibri"/>
        <family val="2"/>
        <scheme val="minor"/>
      </rPr>
      <t>Less than</t>
    </r>
    <r>
      <rPr>
        <sz val="11"/>
        <color theme="1"/>
        <rFont val="Calibri"/>
        <family val="2"/>
        <scheme val="minor"/>
      </rPr>
      <t>: is the thing on the left less than the thing on the right?</t>
    </r>
  </si>
  <si>
    <t>&lt;=</t>
  </si>
  <si>
    <r>
      <rPr>
        <b/>
        <sz val="11"/>
        <color theme="1"/>
        <rFont val="Calibri"/>
        <family val="2"/>
        <scheme val="minor"/>
      </rPr>
      <t>Less than or equal to</t>
    </r>
    <r>
      <rPr>
        <sz val="11"/>
        <color theme="1"/>
        <rFont val="Calibri"/>
        <family val="2"/>
        <scheme val="minor"/>
      </rPr>
      <t>: is the thing on the left less than or equal to the thing on the right?</t>
    </r>
  </si>
  <si>
    <t>How Formulas Calculate: Order of Precedence in Excel.</t>
  </si>
  <si>
    <r>
      <rPr>
        <b/>
        <sz val="11"/>
        <color theme="1"/>
        <rFont val="Calibri"/>
        <family val="2"/>
        <scheme val="minor"/>
      </rPr>
      <t>Parenthesis</t>
    </r>
    <r>
      <rPr>
        <sz val="11"/>
        <color theme="1"/>
        <rFont val="Calibri"/>
        <family val="2"/>
        <scheme val="minor"/>
      </rPr>
      <t xml:space="preserve"> ( )</t>
    </r>
  </si>
  <si>
    <r>
      <rPr>
        <b/>
        <sz val="11"/>
        <color theme="1"/>
        <rFont val="Calibri"/>
        <family val="2"/>
        <scheme val="minor"/>
      </rPr>
      <t>Reference Operators</t>
    </r>
    <r>
      <rPr>
        <sz val="11"/>
        <color theme="1"/>
        <rFont val="Calibri"/>
        <family val="2"/>
        <scheme val="minor"/>
      </rPr>
      <t>: colon, space, comma</t>
    </r>
  </si>
  <si>
    <t>Example of colon in range of cells: =SUM(A1:A4)</t>
  </si>
  <si>
    <t>Example of intersection operator: =E12:G12 F10:F15 (retrieve what is in F12)</t>
  </si>
  <si>
    <t>Example of comma (union): =SUM(E10:G10,E14:G14)</t>
  </si>
  <si>
    <r>
      <rPr>
        <b/>
        <sz val="11"/>
        <color theme="1"/>
        <rFont val="Calibri"/>
        <family val="2"/>
        <scheme val="minor"/>
      </rPr>
      <t>Negation</t>
    </r>
    <r>
      <rPr>
        <sz val="11"/>
        <color theme="1"/>
        <rFont val="Calibri"/>
        <family val="2"/>
        <scheme val="minor"/>
      </rPr>
      <t xml:space="preserve"> (-)</t>
    </r>
  </si>
  <si>
    <t>Example: = -2^4 = 16</t>
  </si>
  <si>
    <t>Example: = -(2^4) = -16</t>
  </si>
  <si>
    <t>Example: --2+1 = 3</t>
  </si>
  <si>
    <r>
      <rPr>
        <b/>
        <sz val="11"/>
        <color theme="1"/>
        <rFont val="Calibri"/>
        <family val="2"/>
        <scheme val="minor"/>
      </rPr>
      <t>Converts %</t>
    </r>
    <r>
      <rPr>
        <sz val="11"/>
        <color theme="1"/>
        <rFont val="Calibri"/>
        <family val="2"/>
        <scheme val="minor"/>
      </rPr>
      <t xml:space="preserve"> (1% to .01)</t>
    </r>
  </si>
  <si>
    <r>
      <rPr>
        <b/>
        <sz val="11"/>
        <color theme="1"/>
        <rFont val="Calibri"/>
        <family val="2"/>
        <scheme val="minor"/>
      </rPr>
      <t>Exponents</t>
    </r>
    <r>
      <rPr>
        <sz val="11"/>
        <color theme="1"/>
        <rFont val="Calibri"/>
        <family val="2"/>
        <scheme val="minor"/>
      </rPr>
      <t xml:space="preserve"> (^)</t>
    </r>
  </si>
  <si>
    <t>Example: 4^(1/2) = 2</t>
  </si>
  <si>
    <t>Example: 3^2 = 9</t>
  </si>
  <si>
    <r>
      <rPr>
        <b/>
        <sz val="11"/>
        <color theme="1"/>
        <rFont val="Calibri"/>
        <family val="2"/>
        <scheme val="minor"/>
      </rPr>
      <t>Multiplication</t>
    </r>
    <r>
      <rPr>
        <sz val="11"/>
        <color theme="1"/>
        <rFont val="Calibri"/>
        <family val="2"/>
        <scheme val="minor"/>
      </rPr>
      <t xml:space="preserve"> (*) and </t>
    </r>
    <r>
      <rPr>
        <b/>
        <sz val="11"/>
        <color theme="1"/>
        <rFont val="Calibri"/>
        <family val="2"/>
        <scheme val="minor"/>
      </rPr>
      <t>Division</t>
    </r>
    <r>
      <rPr>
        <sz val="11"/>
        <color theme="1"/>
        <rFont val="Calibri"/>
        <family val="2"/>
        <scheme val="minor"/>
      </rPr>
      <t xml:space="preserve"> (/), left to right</t>
    </r>
  </si>
  <si>
    <r>
      <rPr>
        <b/>
        <sz val="11"/>
        <color theme="1"/>
        <rFont val="Calibri"/>
        <family val="2"/>
        <scheme val="minor"/>
      </rPr>
      <t>Adding</t>
    </r>
    <r>
      <rPr>
        <sz val="11"/>
        <color theme="1"/>
        <rFont val="Calibri"/>
        <family val="2"/>
        <scheme val="minor"/>
      </rPr>
      <t xml:space="preserve"> (+) and </t>
    </r>
    <r>
      <rPr>
        <b/>
        <sz val="11"/>
        <color theme="1"/>
        <rFont val="Calibri"/>
        <family val="2"/>
        <scheme val="minor"/>
      </rPr>
      <t>Subtracting</t>
    </r>
    <r>
      <rPr>
        <sz val="11"/>
        <color theme="1"/>
        <rFont val="Calibri"/>
        <family val="2"/>
        <scheme val="minor"/>
      </rPr>
      <t xml:space="preserve"> (-), left to right</t>
    </r>
  </si>
  <si>
    <r>
      <rPr>
        <b/>
        <sz val="11"/>
        <color theme="1"/>
        <rFont val="Calibri"/>
        <family val="2"/>
        <scheme val="minor"/>
      </rPr>
      <t>Ampersand</t>
    </r>
    <r>
      <rPr>
        <sz val="11"/>
        <color theme="1"/>
        <rFont val="Calibri"/>
        <family val="2"/>
        <scheme val="minor"/>
      </rPr>
      <t xml:space="preserve"> (&amp;)</t>
    </r>
  </si>
  <si>
    <r>
      <rPr>
        <b/>
        <sz val="11"/>
        <color theme="1"/>
        <rFont val="Calibri"/>
        <family val="2"/>
        <scheme val="minor"/>
      </rPr>
      <t>Comparative symbols</t>
    </r>
    <r>
      <rPr>
        <sz val="11"/>
        <color theme="1"/>
        <rFont val="Calibri"/>
        <family val="2"/>
        <scheme val="minor"/>
      </rPr>
      <t>: =, &lt;&gt;, &gt;=, &lt;=, &lt;, &gt;</t>
    </r>
  </si>
  <si>
    <t>Number Formatting is a Façade.</t>
  </si>
  <si>
    <t>What you see on the face of the spreadsheet can be different from the underlying number in the cell.</t>
  </si>
  <si>
    <t>There can be a disconnect between what you see in a cell with your eyes and what is actually stored in the cell as content.</t>
  </si>
  <si>
    <t>Calculations are made upon the underlying number, not the Number Format that you see on the face of the spreadsheet.</t>
  </si>
  <si>
    <t>Example: You can use the Decrease Decimal button to show fewer decimals, but that does not remove the decimals for calculating purposes.</t>
  </si>
  <si>
    <t>Example: Dates such as 12/1/2012 are serial numbers.</t>
  </si>
  <si>
    <t>You "see" 12/1/2012 on the face of the spreadsheet, but the serial number 41,244 is what is actually in the cell.</t>
  </si>
  <si>
    <t>Formulas calculate upon the underlying serial number 41,244, not the date 12/1/2012.</t>
  </si>
  <si>
    <t>Default Alignment in Excel.</t>
  </si>
  <si>
    <r>
      <rPr>
        <b/>
        <sz val="11"/>
        <color theme="1"/>
        <rFont val="Calibri"/>
        <family val="2"/>
        <scheme val="minor"/>
      </rPr>
      <t>Text</t>
    </r>
    <r>
      <rPr>
        <sz val="11"/>
        <color theme="1"/>
        <rFont val="Calibri"/>
        <family val="2"/>
        <scheme val="minor"/>
      </rPr>
      <t xml:space="preserve"> is to LEFT.</t>
    </r>
  </si>
  <si>
    <t>Excel is fun</t>
  </si>
  <si>
    <r>
      <rPr>
        <b/>
        <sz val="11"/>
        <color theme="1"/>
        <rFont val="Calibri"/>
        <family val="2"/>
        <scheme val="minor"/>
      </rPr>
      <t>Numbers</t>
    </r>
    <r>
      <rPr>
        <sz val="11"/>
        <color theme="1"/>
        <rFont val="Calibri"/>
        <family val="2"/>
        <scheme val="minor"/>
      </rPr>
      <t xml:space="preserve"> are to RIGHT.</t>
    </r>
  </si>
  <si>
    <r>
      <rPr>
        <b/>
        <sz val="11"/>
        <color theme="1"/>
        <rFont val="Calibri"/>
        <family val="2"/>
        <scheme val="minor"/>
      </rPr>
      <t>Logical values</t>
    </r>
    <r>
      <rPr>
        <sz val="11"/>
        <color theme="1"/>
        <rFont val="Calibri"/>
        <family val="2"/>
        <scheme val="minor"/>
      </rPr>
      <t xml:space="preserve"> are CENTER.</t>
    </r>
  </si>
  <si>
    <r>
      <rPr>
        <b/>
        <sz val="11"/>
        <color theme="1"/>
        <rFont val="Calibri"/>
        <family val="2"/>
        <scheme val="minor"/>
      </rPr>
      <t>Error values</t>
    </r>
    <r>
      <rPr>
        <sz val="11"/>
        <color theme="1"/>
        <rFont val="Calibri"/>
        <family val="2"/>
        <scheme val="minor"/>
      </rPr>
      <t xml:space="preserve"> are CENTER.</t>
    </r>
  </si>
  <si>
    <t>Ex 1</t>
  </si>
  <si>
    <t>Type of Formula:</t>
  </si>
  <si>
    <t>Calculating.</t>
  </si>
  <si>
    <t>Formula Elements:</t>
  </si>
  <si>
    <t>Number aligned RIGHT</t>
  </si>
  <si>
    <t>Time In</t>
  </si>
  <si>
    <t>Time Out</t>
  </si>
  <si>
    <t>Hourly Wage</t>
  </si>
  <si>
    <t>Gross Pay</t>
  </si>
  <si>
    <t>Hours Worked</t>
  </si>
  <si>
    <t>Parenthesis</t>
  </si>
  <si>
    <t>Exponents</t>
  </si>
  <si>
    <t>Multiplication and Division, Left to Right</t>
  </si>
  <si>
    <t>Ex 2</t>
  </si>
  <si>
    <t>Equal sign, cell reference, math operator, cell reference.</t>
  </si>
  <si>
    <t>Equal sign, parenthesis, cell reference, math operator,</t>
  </si>
  <si>
    <t>Math Order Of Operations:</t>
  </si>
  <si>
    <t>** Remember: Please Excuse My Dear Aunt Sally</t>
  </si>
  <si>
    <t>Ex 3</t>
  </si>
  <si>
    <t>Date</t>
  </si>
  <si>
    <t>SalesRep</t>
  </si>
  <si>
    <t>Sales</t>
  </si>
  <si>
    <t>Criteria (Sales Rep Name)</t>
  </si>
  <si>
    <t>Chunfei</t>
  </si>
  <si>
    <t>Dalia</t>
  </si>
  <si>
    <t>David</t>
  </si>
  <si>
    <t>Devi</t>
  </si>
  <si>
    <t>Elaine</t>
  </si>
  <si>
    <t>Ereney</t>
  </si>
  <si>
    <t>Jenifer</t>
  </si>
  <si>
    <t>Jennifer</t>
  </si>
  <si>
    <t>Jesse</t>
  </si>
  <si>
    <t>Jim</t>
  </si>
  <si>
    <t>Joey</t>
  </si>
  <si>
    <t>Michael</t>
  </si>
  <si>
    <t>Michelle</t>
  </si>
  <si>
    <t>Nelya</t>
  </si>
  <si>
    <t>Sandra</t>
  </si>
  <si>
    <t>Sheri</t>
  </si>
  <si>
    <t>Count Sales Each Had</t>
  </si>
  <si>
    <t>Each Record Represents 1 Sale:</t>
  </si>
  <si>
    <t>Equal sign, function, absolute range of cells, relative cell reference.</t>
  </si>
  <si>
    <t>Ex 4</t>
  </si>
  <si>
    <t>Text Formula.</t>
  </si>
  <si>
    <t>Name</t>
  </si>
  <si>
    <t>Product ID</t>
  </si>
  <si>
    <t>ID Generator:</t>
  </si>
  <si>
    <t>CA</t>
  </si>
  <si>
    <t>cell reference, parenthesis, math operator, number that does not change.</t>
  </si>
  <si>
    <t>Logical Formula.</t>
  </si>
  <si>
    <t>Ex 5</t>
  </si>
  <si>
    <t>Text aligned LEFT</t>
  </si>
  <si>
    <t>Employee</t>
  </si>
  <si>
    <t>Over Allowed Limit?</t>
  </si>
  <si>
    <t>OR</t>
  </si>
  <si>
    <t>Meryl Platt</t>
  </si>
  <si>
    <t>Lelia Person</t>
  </si>
  <si>
    <t>Tamica Wolford</t>
  </si>
  <si>
    <t>Theodora Osburn</t>
  </si>
  <si>
    <t>Ricarda Yost</t>
  </si>
  <si>
    <t>Eun Sells</t>
  </si>
  <si>
    <t>Calls Allowed</t>
  </si>
  <si>
    <t>IF</t>
  </si>
  <si>
    <t>Ex 6</t>
  </si>
  <si>
    <t>Equal sign, RIGHT function, relative cell reference, number that does not change.</t>
  </si>
  <si>
    <t>Equal sign, relative cell reference, comparative operator, absolute cell reference.</t>
  </si>
  <si>
    <t>comparative operator, absolute cell reference, "text".</t>
  </si>
  <si>
    <r>
      <rPr>
        <b/>
        <sz val="11"/>
        <color theme="1"/>
        <rFont val="Calibri"/>
        <family val="2"/>
        <scheme val="minor"/>
      </rPr>
      <t>Text Formula</t>
    </r>
    <r>
      <rPr>
        <sz val="11"/>
        <color theme="1"/>
        <rFont val="Calibri"/>
        <family val="2"/>
        <scheme val="minor"/>
      </rPr>
      <t xml:space="preserve"> that contains the </t>
    </r>
    <r>
      <rPr>
        <b/>
        <sz val="11"/>
        <color theme="1"/>
        <rFont val="Calibri"/>
        <family val="2"/>
        <scheme val="minor"/>
      </rPr>
      <t>formula elements</t>
    </r>
    <r>
      <rPr>
        <sz val="11"/>
        <color theme="1"/>
        <rFont val="Calibri"/>
        <family val="2"/>
        <scheme val="minor"/>
      </rPr>
      <t>: equal sign, IF function, relative cell reference,</t>
    </r>
  </si>
  <si>
    <t>Ex 7</t>
  </si>
  <si>
    <t>572-YEW/CA</t>
  </si>
  <si>
    <t>503-MSA/WA</t>
  </si>
  <si>
    <t>708-LIJ/OR</t>
  </si>
  <si>
    <t>455-LCO/WA</t>
  </si>
  <si>
    <t>826-JWW/CA</t>
  </si>
  <si>
    <t>486-DFJ/OR</t>
  </si>
  <si>
    <t>Product Code</t>
  </si>
  <si>
    <t>WA</t>
  </si>
  <si>
    <t>Product ID for Computer</t>
  </si>
  <si>
    <t>572-YEW/</t>
  </si>
  <si>
    <t>503-MSA/</t>
  </si>
  <si>
    <t>708-LIJ/</t>
  </si>
  <si>
    <t>455-LCO/</t>
  </si>
  <si>
    <t>826-JWW/</t>
  </si>
  <si>
    <t>486-DFJ/</t>
  </si>
  <si>
    <t>Equal sign, relative cell reference, join symbol, ampersand ( &amp; ), relative cell reference.</t>
  </si>
  <si>
    <t>Ex 8</t>
  </si>
  <si>
    <t>Lookup Formula.</t>
  </si>
  <si>
    <t>Drop-down arrow: Data Ribbon, Data Validation, List</t>
  </si>
  <si>
    <t>Exact lookup: FALSE or 0</t>
  </si>
  <si>
    <t>Phone</t>
  </si>
  <si>
    <t>Hire Date</t>
  </si>
  <si>
    <t>Email</t>
  </si>
  <si>
    <t>Joe</t>
  </si>
  <si>
    <t>Joanne</t>
  </si>
  <si>
    <t>Jo-Jo</t>
  </si>
  <si>
    <t>206-675-3255</t>
  </si>
  <si>
    <t>206-625-5328</t>
  </si>
  <si>
    <t>206-603-3230</t>
  </si>
  <si>
    <t>206-612-5025</t>
  </si>
  <si>
    <t>Joe@gmail</t>
  </si>
  <si>
    <t>Joanne@gmail</t>
  </si>
  <si>
    <t>Jo-Jo@yahoo</t>
  </si>
  <si>
    <t>Equal sign, VLOOKUP function, absolute cell reference, absolute range of cells, function argument element.</t>
  </si>
  <si>
    <t>How Formula Calculate</t>
  </si>
  <si>
    <t>Examples of Formulas</t>
  </si>
  <si>
    <t>Ex 9</t>
  </si>
  <si>
    <t>Add Top 3 Sales</t>
  </si>
  <si>
    <t>Ex 10</t>
  </si>
  <si>
    <t>Equal sign, cell reference, math operator, built-in function, range of cells.</t>
  </si>
  <si>
    <t>Revenue</t>
  </si>
  <si>
    <t>Administrative Expense</t>
  </si>
  <si>
    <t>Operational Expenses</t>
  </si>
  <si>
    <t>Other Expenses</t>
  </si>
  <si>
    <t>Net Income</t>
  </si>
  <si>
    <t>Equal sign, SUM function, LARGE function, range of cells, array constant.</t>
  </si>
  <si>
    <t>Beg Qty</t>
  </si>
  <si>
    <t>End Qty</t>
  </si>
  <si>
    <t>Value Each</t>
  </si>
  <si>
    <t>COGS</t>
  </si>
  <si>
    <t>8+2*2</t>
  </si>
  <si>
    <t xml:space="preserve">Array Formula: </t>
  </si>
  <si>
    <r>
      <rPr>
        <b/>
        <sz val="11"/>
        <color theme="1"/>
        <rFont val="Calibri"/>
        <family val="2"/>
        <scheme val="minor"/>
      </rPr>
      <t>Array Formula</t>
    </r>
    <r>
      <rPr>
        <sz val="11"/>
        <color theme="1"/>
        <rFont val="Calibri"/>
        <family val="2"/>
        <scheme val="minor"/>
      </rPr>
      <t xml:space="preserve">: formula that contains a formula element that makes an array operation which </t>
    </r>
  </si>
  <si>
    <t xml:space="preserve"> produces an array of answers rather than an aggregate answer.</t>
  </si>
  <si>
    <t>In our example, the k argument is expecting a single number, because we give it 3 numbers,</t>
  </si>
  <si>
    <t>the LARGE spits out 3 numbers. The k argument makes a "function argument array operation".</t>
  </si>
  <si>
    <t>Definition of array formula:</t>
  </si>
  <si>
    <t>An array formula is a formula that contains an operation (math, comparative, join,</t>
  </si>
  <si>
    <t>or function argument) on an array of items rather than on single items, and, the</t>
  </si>
  <si>
    <t>operation delivers a resultant array of items rather than a single item.</t>
  </si>
  <si>
    <t>This operation is called an array operation and is distinguished from an aggregate</t>
  </si>
  <si>
    <t>operation, which delivers a single item.</t>
  </si>
  <si>
    <t>The resultant array of items can be used as a formula element in a larger formulas,</t>
  </si>
  <si>
    <t>or it can be the final answer.</t>
  </si>
  <si>
    <t>The final answer from an array formula can either be a single item or an array of items.</t>
  </si>
  <si>
    <t>Colon</t>
  </si>
  <si>
    <t>Comma</t>
  </si>
  <si>
    <t>Jan</t>
  </si>
  <si>
    <t>Feb</t>
  </si>
  <si>
    <t>Negation</t>
  </si>
  <si>
    <t>Question: 8+2*2</t>
  </si>
  <si>
    <t>8+2*2 = 20?</t>
  </si>
  <si>
    <t>8+2*2 = 12?</t>
  </si>
  <si>
    <r>
      <rPr>
        <b/>
        <sz val="11"/>
        <color theme="1"/>
        <rFont val="Calibri"/>
        <family val="2"/>
        <scheme val="minor"/>
      </rPr>
      <t>Negation</t>
    </r>
    <r>
      <rPr>
        <sz val="11"/>
        <color theme="1"/>
        <rFont val="Calibri"/>
        <family val="2"/>
        <scheme val="minor"/>
      </rPr>
      <t xml:space="preserve"> (-)        (give me opposite)</t>
    </r>
  </si>
  <si>
    <t>Example: 2^3 = 2*2*2 = 8</t>
  </si>
  <si>
    <t>%</t>
  </si>
  <si>
    <t>Watch formula in action:</t>
  </si>
  <si>
    <t>1) Evaluate Formula: Formula Auditing group in Formula Ribbon Tab, Alt M, V (also Alt, T, U, F)</t>
  </si>
  <si>
    <t>Mar</t>
  </si>
  <si>
    <t>Intersection (rare)</t>
  </si>
  <si>
    <t>M, D, A, S, Left to Right</t>
  </si>
  <si>
    <t>Start</t>
  </si>
  <si>
    <t>End</t>
  </si>
  <si>
    <t>Ampersand</t>
  </si>
  <si>
    <r>
      <rPr>
        <b/>
        <sz val="11"/>
        <color theme="1"/>
        <rFont val="Calibri"/>
        <family val="2"/>
        <scheme val="minor"/>
      </rPr>
      <t>Ampersand</t>
    </r>
    <r>
      <rPr>
        <sz val="11"/>
        <color theme="1"/>
        <rFont val="Calibri"/>
        <family val="2"/>
        <scheme val="minor"/>
      </rPr>
      <t xml:space="preserve"> (&amp;)    (Join operator)</t>
    </r>
  </si>
  <si>
    <t>Comparative Operator</t>
  </si>
  <si>
    <r>
      <rPr>
        <b/>
        <sz val="11"/>
        <color theme="1"/>
        <rFont val="Calibri"/>
        <family val="2"/>
        <scheme val="minor"/>
      </rPr>
      <t>Comparative operators</t>
    </r>
    <r>
      <rPr>
        <sz val="11"/>
        <color theme="1"/>
        <rFont val="Calibri"/>
        <family val="2"/>
        <scheme val="minor"/>
      </rPr>
      <t>: =, &lt;&gt;, &gt;=, &lt;=, &lt;, &gt;</t>
    </r>
  </si>
  <si>
    <t>Everything</t>
  </si>
  <si>
    <t>Hurdle</t>
  </si>
  <si>
    <t>Region</t>
  </si>
  <si>
    <t>Product</t>
  </si>
  <si>
    <t>Jo</t>
  </si>
  <si>
    <t>Mo</t>
  </si>
  <si>
    <t>Chin</t>
  </si>
  <si>
    <t>West</t>
  </si>
  <si>
    <t>East</t>
  </si>
  <si>
    <t>Short</t>
  </si>
  <si>
    <t>Long</t>
  </si>
  <si>
    <t>Units</t>
  </si>
  <si>
    <t>Name 1</t>
  </si>
  <si>
    <t>Name 2</t>
  </si>
  <si>
    <t>Count</t>
  </si>
  <si>
    <t>Max Days
Allowed</t>
  </si>
  <si>
    <t>Month</t>
  </si>
  <si>
    <t>Total Revenue</t>
  </si>
  <si>
    <t>Total Expenses</t>
  </si>
  <si>
    <t>Apr</t>
  </si>
  <si>
    <t>May</t>
  </si>
  <si>
    <t>Jun</t>
  </si>
  <si>
    <t>Items</t>
  </si>
  <si>
    <t>New Price</t>
  </si>
  <si>
    <t>Assumption Table</t>
  </si>
  <si>
    <t>Increase in Price</t>
  </si>
  <si>
    <t>Sofa</t>
  </si>
  <si>
    <t>Head Lamp</t>
  </si>
  <si>
    <t>Table</t>
  </si>
  <si>
    <t>Chair</t>
  </si>
  <si>
    <t>Dining Set</t>
  </si>
  <si>
    <t>Picture</t>
  </si>
  <si>
    <t>Increment</t>
  </si>
  <si>
    <t>Assumption Table
contains
Formula Inputs</t>
  </si>
  <si>
    <t>Commission Rate</t>
  </si>
  <si>
    <t>Abraham</t>
  </si>
  <si>
    <t>Hironobu</t>
  </si>
  <si>
    <t>Daniel</t>
  </si>
  <si>
    <t>Dante</t>
  </si>
  <si>
    <t>Sarah B</t>
  </si>
  <si>
    <t>Tonya</t>
  </si>
  <si>
    <t>Janita</t>
  </si>
  <si>
    <t>Debra</t>
  </si>
  <si>
    <t>Tiara</t>
  </si>
  <si>
    <t>Andrea</t>
  </si>
  <si>
    <t>Faye</t>
  </si>
  <si>
    <t>Viktor</t>
  </si>
  <si>
    <t>Na</t>
  </si>
  <si>
    <t>Ryan</t>
  </si>
  <si>
    <t>Damir</t>
  </si>
  <si>
    <t>Sunita</t>
  </si>
  <si>
    <t>Meghan</t>
  </si>
  <si>
    <t>Cynthia</t>
  </si>
  <si>
    <t>Trevor</t>
  </si>
  <si>
    <t>John</t>
  </si>
  <si>
    <t>Sang</t>
  </si>
  <si>
    <t>Dina</t>
  </si>
  <si>
    <t>Tony</t>
  </si>
  <si>
    <t>Nikolay</t>
  </si>
  <si>
    <t>Thanh</t>
  </si>
  <si>
    <t>Tracinda</t>
  </si>
  <si>
    <t>Denis</t>
  </si>
  <si>
    <t>Svitlana Q</t>
  </si>
  <si>
    <t>Leslie</t>
  </si>
  <si>
    <t>Sarah</t>
  </si>
  <si>
    <t>Andra</t>
  </si>
  <si>
    <t>Christien</t>
  </si>
  <si>
    <t>Irina</t>
  </si>
  <si>
    <t>Chandy</t>
  </si>
  <si>
    <t>Wendy</t>
  </si>
  <si>
    <t>Archie</t>
  </si>
  <si>
    <t>Desiree</t>
  </si>
  <si>
    <t>Denise</t>
  </si>
  <si>
    <t>Hillary</t>
  </si>
  <si>
    <t>Nicolas</t>
  </si>
  <si>
    <t>Ralph</t>
  </si>
  <si>
    <t>Konstanti</t>
  </si>
  <si>
    <t>Svitlana</t>
  </si>
  <si>
    <t>Ewelina</t>
  </si>
  <si>
    <t>Jori</t>
  </si>
  <si>
    <t>Abdullahi</t>
  </si>
  <si>
    <t>January</t>
  </si>
  <si>
    <t>February</t>
  </si>
  <si>
    <t>March</t>
  </si>
  <si>
    <t>April</t>
  </si>
  <si>
    <t>June</t>
  </si>
  <si>
    <t>Increase each month</t>
  </si>
  <si>
    <t>% Change</t>
  </si>
  <si>
    <t>**In Business Math Classes I would call (1+%change), the "Rate".</t>
  </si>
  <si>
    <t>Yearly PMT</t>
  </si>
  <si>
    <t>What will your Pension be worth when you retire?</t>
  </si>
  <si>
    <t>Years/Rate</t>
  </si>
  <si>
    <t>Start rate</t>
  </si>
  <si>
    <t>increment</t>
  </si>
  <si>
    <t>Start years</t>
  </si>
  <si>
    <t>Multiplication Table</t>
  </si>
  <si>
    <t>Column Headers</t>
  </si>
  <si>
    <t>Row Headers</t>
  </si>
  <si>
    <t>ProductSold</t>
  </si>
  <si>
    <t>UnitsSold</t>
  </si>
  <si>
    <t>Total Sales</t>
  </si>
  <si>
    <t>2003 and earlier formula</t>
  </si>
  <si>
    <t>Tina</t>
  </si>
  <si>
    <t>Boom 15</t>
  </si>
  <si>
    <t>Shelia</t>
  </si>
  <si>
    <t>Boom 14</t>
  </si>
  <si>
    <t>Bob</t>
  </si>
  <si>
    <t>or</t>
  </si>
  <si>
    <t>Boom 11</t>
  </si>
  <si>
    <t>Sioux</t>
  </si>
  <si>
    <t>Boom 5</t>
  </si>
  <si>
    <t>Donita</t>
  </si>
  <si>
    <t>Boom 6</t>
  </si>
  <si>
    <t>Don</t>
  </si>
  <si>
    <t>Boom 10</t>
  </si>
  <si>
    <t>Boom 8</t>
  </si>
  <si>
    <t>Boom 13</t>
  </si>
  <si>
    <t>Boom 2</t>
  </si>
  <si>
    <t>Boom 1</t>
  </si>
  <si>
    <t>Customer</t>
  </si>
  <si>
    <t>Product/Region</t>
  </si>
  <si>
    <t>MidWest</t>
  </si>
  <si>
    <t>South</t>
  </si>
  <si>
    <t>Sunshine</t>
  </si>
  <si>
    <t>Franks</t>
  </si>
  <si>
    <t>KBTB</t>
  </si>
  <si>
    <t>MNGD</t>
  </si>
  <si>
    <t>Carlota</t>
  </si>
  <si>
    <t>JAQ</t>
  </si>
  <si>
    <t>Sunset</t>
  </si>
  <si>
    <t>FRED</t>
  </si>
  <si>
    <t>Quad</t>
  </si>
  <si>
    <t>WFMI</t>
  </si>
  <si>
    <t>Bellen</t>
  </si>
  <si>
    <t>Smith</t>
  </si>
  <si>
    <t>TTT</t>
  </si>
  <si>
    <t>ET</t>
  </si>
  <si>
    <t>Pham</t>
  </si>
  <si>
    <t>FM</t>
  </si>
  <si>
    <t>EPP</t>
  </si>
  <si>
    <t>T</t>
  </si>
  <si>
    <t>LOP</t>
  </si>
  <si>
    <t>Gault</t>
  </si>
  <si>
    <t>PSA</t>
  </si>
  <si>
    <t>AST</t>
  </si>
  <si>
    <t>SFWK</t>
  </si>
  <si>
    <t>WSD</t>
  </si>
  <si>
    <t>QT</t>
  </si>
  <si>
    <t>DFR</t>
  </si>
  <si>
    <t>HII</t>
  </si>
  <si>
    <t>ITW</t>
  </si>
  <si>
    <t>AA</t>
  </si>
  <si>
    <t>WT</t>
  </si>
  <si>
    <t>PCC</t>
  </si>
  <si>
    <t>ZAT</t>
  </si>
  <si>
    <t>MBG</t>
  </si>
  <si>
    <t>TRU</t>
  </si>
  <si>
    <t>PLOT</t>
  </si>
  <si>
    <t>BBT</t>
  </si>
  <si>
    <t>DFGH</t>
  </si>
  <si>
    <t>GRR</t>
  </si>
  <si>
    <t>KPSA</t>
  </si>
  <si>
    <t>DDH</t>
  </si>
  <si>
    <t>Budget</t>
  </si>
  <si>
    <t>Total</t>
  </si>
  <si>
    <t>Assumptions - Formula Inputs</t>
  </si>
  <si>
    <t>Schedule Of Accounts Receivable</t>
  </si>
  <si>
    <t>Amount</t>
  </si>
  <si>
    <t>Name1</t>
  </si>
  <si>
    <t>Name2</t>
  </si>
  <si>
    <t>Name3</t>
  </si>
  <si>
    <t>Name4</t>
  </si>
  <si>
    <t>Name5</t>
  </si>
  <si>
    <t>Name6</t>
  </si>
  <si>
    <t>Name7</t>
  </si>
  <si>
    <t>Name8</t>
  </si>
  <si>
    <t>Total AR</t>
  </si>
  <si>
    <t>Check to See If In Balance</t>
  </si>
  <si>
    <t>DR</t>
  </si>
  <si>
    <t>CR</t>
  </si>
  <si>
    <t>Rev</t>
  </si>
  <si>
    <t>E1</t>
  </si>
  <si>
    <t>E2</t>
  </si>
  <si>
    <t>E3</t>
  </si>
  <si>
    <t>E4</t>
  </si>
  <si>
    <t>E5</t>
  </si>
  <si>
    <t>E6</t>
  </si>
  <si>
    <t>Current Net Income</t>
  </si>
  <si>
    <t>May Net Income</t>
  </si>
  <si>
    <t>Change</t>
  </si>
  <si>
    <t>Pro1</t>
  </si>
  <si>
    <t>Pro2</t>
  </si>
  <si>
    <t>Pro3</t>
  </si>
  <si>
    <t>Pro4</t>
  </si>
  <si>
    <t>Pro5</t>
  </si>
  <si>
    <t>Pro6</t>
  </si>
  <si>
    <t>Relative</t>
  </si>
  <si>
    <t>Cell Reference Notes</t>
  </si>
  <si>
    <t>Retail Selling Price by Profit Margin</t>
  </si>
  <si>
    <t>Picture Sell Price</t>
  </si>
  <si>
    <t>Picture Cost</t>
  </si>
  <si>
    <t>Profit</t>
  </si>
  <si>
    <t>Profit %</t>
  </si>
  <si>
    <t>Start with Cost:</t>
  </si>
  <si>
    <t>How do we get Sell Price?</t>
  </si>
  <si>
    <t>Costs:</t>
  </si>
  <si>
    <t>50 - 30 = 20</t>
  </si>
  <si>
    <t>50 - 50*.4 = 20</t>
  </si>
  <si>
    <t>50*(1-.4) = 20</t>
  </si>
  <si>
    <t>50 = 20/(1-.4)</t>
  </si>
  <si>
    <t>Relative &amp; Absolute</t>
  </si>
  <si>
    <t>Mixed</t>
  </si>
  <si>
    <t>Relative &amp; Absolute &amp; Mixed</t>
  </si>
  <si>
    <t>3-D Reference</t>
  </si>
  <si>
    <t xml:space="preserve"> =SUM(F26:F29)</t>
  </si>
  <si>
    <t xml:space="preserve"> =G26:G29 F27:H27</t>
  </si>
  <si>
    <t xml:space="preserve"> =SUM(F26:F29,G26:G29)</t>
  </si>
  <si>
    <t xml:space="preserve"> =-2^2</t>
  </si>
  <si>
    <t xml:space="preserve"> =-(2^2)</t>
  </si>
  <si>
    <t xml:space="preserve"> =10*1%</t>
  </si>
  <si>
    <t xml:space="preserve"> =6*2+10/2-7</t>
  </si>
  <si>
    <t xml:space="preserve"> ="The project lasted "&amp;G33-F33+1&amp;" days."</t>
  </si>
  <si>
    <t xml:space="preserve"> =H33&gt;=G33-F33</t>
  </si>
  <si>
    <t>1) In the green cells find the problems with the formulas and fix it.</t>
  </si>
  <si>
    <t>Expenses</t>
  </si>
  <si>
    <t xml:space="preserve"> =B3-B4</t>
  </si>
  <si>
    <t>=B7-B8</t>
  </si>
  <si>
    <t>=B11-B12</t>
  </si>
  <si>
    <t xml:space="preserve"> &lt;&lt;== get rid of space</t>
  </si>
  <si>
    <t xml:space="preserve"> &lt;&lt;== get rid of lead apostrophe</t>
  </si>
  <si>
    <t xml:space="preserve"> &lt;&lt;== Remove Text number formatting</t>
  </si>
  <si>
    <t>1) In the green cells create a formula that will calculate the correct answer</t>
  </si>
  <si>
    <t>Item</t>
  </si>
  <si>
    <t>Birch Aircraft Plywood Sheet</t>
  </si>
  <si>
    <t>Subtotal</t>
  </si>
  <si>
    <t>Annual Charge</t>
  </si>
  <si>
    <t>Monthly Allocation</t>
  </si>
  <si>
    <t>Employee 1</t>
  </si>
  <si>
    <t>Employee 2</t>
  </si>
  <si>
    <t>Employee 3</t>
  </si>
  <si>
    <t>Employee 4</t>
  </si>
  <si>
    <t>Average</t>
  </si>
  <si>
    <t>Operational Expense</t>
  </si>
  <si>
    <t>Other Expense</t>
  </si>
  <si>
    <t>1) Calculate the balances for the DR and CR columns in cells A7 and B7. Then in cell B9 create a Logical Formula that will tell you whether the two columns are in balance or not.</t>
  </si>
  <si>
    <t>In Balance?</t>
  </si>
  <si>
    <t>To fix it change numbers to:</t>
  </si>
  <si>
    <t>1) In cell C6 create a calculating formula that will calculate the sum of sales greater than or equal to $25. In cell C5 create a text formula for your calculation.</t>
  </si>
  <si>
    <t>or this formula:</t>
  </si>
  <si>
    <t>1) In the range E5:E8 create a formula that can add the two smallest scores. (Instead of LARGE function, use the SMALL function).</t>
  </si>
  <si>
    <t>Boomerang Fast Catch Score Sheet</t>
  </si>
  <si>
    <t>Thrower</t>
  </si>
  <si>
    <t>Throw 1</t>
  </si>
  <si>
    <t>Throw 2</t>
  </si>
  <si>
    <t>Throw 3</t>
  </si>
  <si>
    <t>SUM of Lowest Two</t>
  </si>
  <si>
    <t>Richard</t>
  </si>
  <si>
    <t>Matt</t>
  </si>
  <si>
    <t>Stevie</t>
  </si>
  <si>
    <t>1) In the green cell create a formula that will calculate the correct answer.</t>
  </si>
  <si>
    <t>Count Employees</t>
  </si>
  <si>
    <t>Count How many Numbers are in Phone Call Field (Column)</t>
  </si>
  <si>
    <t>Employees</t>
  </si>
  <si>
    <t>Phone Calls</t>
  </si>
  <si>
    <t>Ericka Furry</t>
  </si>
  <si>
    <t>Julio Wildt</t>
  </si>
  <si>
    <t>Clinton Newbill</t>
  </si>
  <si>
    <t>Kathrine Crosier</t>
  </si>
  <si>
    <t>Clinton Earlywine</t>
  </si>
  <si>
    <t>Allie Campisi</t>
  </si>
  <si>
    <t>Jamie Going</t>
  </si>
  <si>
    <t>Tabatha Benavente</t>
  </si>
  <si>
    <t>Neil Torre</t>
  </si>
  <si>
    <t>Lonnie Priestly</t>
  </si>
  <si>
    <t>Jami Drago</t>
  </si>
  <si>
    <t>Earnestine Bevan</t>
  </si>
  <si>
    <t>Lilia Crown</t>
  </si>
  <si>
    <t>Kurt Lawrie</t>
  </si>
  <si>
    <t>Clinton Hilchey</t>
  </si>
  <si>
    <t>Mathew Goyette</t>
  </si>
  <si>
    <t>Jessie Dykema</t>
  </si>
  <si>
    <t>Katy Nedeau</t>
  </si>
  <si>
    <t>Jessie Hyndman</t>
  </si>
  <si>
    <t>Darryl Oehler</t>
  </si>
  <si>
    <t>Kurt Horiuchi</t>
  </si>
  <si>
    <t>Darren Delange</t>
  </si>
  <si>
    <t>Kurt Papenfuss</t>
  </si>
  <si>
    <t>Kathrine Vales</t>
  </si>
  <si>
    <t>Earnestine Brummond</t>
  </si>
  <si>
    <t>Tyrone Swords</t>
  </si>
  <si>
    <t>Elinor Gladson</t>
  </si>
  <si>
    <t>Malinda Tack</t>
  </si>
  <si>
    <t>COUNTA counts non-empty cells (in our case words)</t>
  </si>
  <si>
    <t>COUNT counts numbers</t>
  </si>
  <si>
    <t>1) In the green cells create a formulas that will calculate the correct answer.</t>
  </si>
  <si>
    <t>Hours worked</t>
  </si>
  <si>
    <t>Wage</t>
  </si>
  <si>
    <t>1) In the range D4:D12 create formulas that will calculate the number of days past due each invoice is. Then in cell D14 calculate the average number of days late that an invoice is late.</t>
  </si>
  <si>
    <t>Invoice Number</t>
  </si>
  <si>
    <t>Due Date</t>
  </si>
  <si>
    <t>Paid Date</t>
  </si>
  <si>
    <t>Days Past Due</t>
  </si>
  <si>
    <t>Average Days Late</t>
  </si>
  <si>
    <t>1) In the range D4:D9, create the formulas that will calculate COGS.</t>
  </si>
  <si>
    <t>1) In the range E4:E14 create the formulas for Gross Pay. If the Number Formatting shows up as Time, change it to Currency.</t>
  </si>
  <si>
    <t>Gross Pay
Wage*HoursWorked</t>
  </si>
  <si>
    <t>Employee 5</t>
  </si>
  <si>
    <t>Your Name</t>
  </si>
  <si>
    <t>Employee 7</t>
  </si>
  <si>
    <t>Employee 8</t>
  </si>
  <si>
    <t>Employee 9</t>
  </si>
  <si>
    <t>Employee 10</t>
  </si>
  <si>
    <t>Employee 11</t>
  </si>
  <si>
    <t>1) Using the spreadsheet create the labels and formulas to calculate your Gross Pay if you worked from 7:30 AM to 11:30 AM, then from 2:00 PM to 5:30 PM and your hourly wage is $27.00.</t>
  </si>
  <si>
    <t>1) Cell C5 has the formula for calculating Retail Selling Price based on Margin. Put the formula in cell C5 in edit mode and add the correct dollar signs to the cell references to enable you to copy the formula through the range C5:E10.
2) Create a formula in cell F5 that can be copied through the range F5:H10 that will increased each price in the range C5:E10 by 10%.</t>
  </si>
  <si>
    <t>Retail Selling Price by Margin</t>
  </si>
  <si>
    <t>Cost</t>
  </si>
  <si>
    <t>1) Create a formula in cell B8 that can be copied through the range B8:K8 that will calculate the commission earned for each SalesRep.</t>
  </si>
  <si>
    <t>1) In the range B4 to B8, create a formula that will add the COGS for each product.
2) Create a PivotTable on this sheet (Existing Location cell = K3) that adds the COGS for each product.
3) Format the Formula Table and the PivotTable so that it looks good.</t>
  </si>
  <si>
    <t>Total COGS</t>
  </si>
  <si>
    <t>Sum of COGS</t>
  </si>
  <si>
    <t>Grand Total</t>
  </si>
  <si>
    <t>In the green cells create a formula that calculates the expenses as a percent of Income.</t>
  </si>
  <si>
    <t>Income</t>
  </si>
  <si>
    <t>Jul</t>
  </si>
  <si>
    <t>Aug</t>
  </si>
  <si>
    <t>Sep</t>
  </si>
  <si>
    <t>Assumptions (Formula Inputs)</t>
  </si>
  <si>
    <t>Expense 1</t>
  </si>
  <si>
    <t>Expense 2</t>
  </si>
  <si>
    <t>Expense 3</t>
  </si>
  <si>
    <t>Expense 4</t>
  </si>
  <si>
    <t>Expense 5</t>
  </si>
  <si>
    <t>Expense 6</t>
  </si>
  <si>
    <t>Expense 7</t>
  </si>
  <si>
    <t>1) Create the formulas to complete the Projected Net Income Statement. Before you start creating formulas, analyze the setup and make adjustments if necessary to be efficient.</t>
  </si>
  <si>
    <t>Ex1</t>
  </si>
  <si>
    <t>Ex2</t>
  </si>
  <si>
    <t>Ex3</t>
  </si>
  <si>
    <t>Ex4</t>
  </si>
  <si>
    <t>Ex5</t>
  </si>
  <si>
    <t>Ex6</t>
  </si>
  <si>
    <t>Ex7</t>
  </si>
  <si>
    <t>Ex8</t>
  </si>
  <si>
    <t>Ex9</t>
  </si>
  <si>
    <t>Ex10</t>
  </si>
  <si>
    <t>Ex11</t>
  </si>
  <si>
    <t>Total Ex</t>
  </si>
  <si>
    <t>Assumptions</t>
  </si>
  <si>
    <t>Create a small budget table (sales and expenses) with an assumption area and then save 3 scenarios. For the additional two scenarios use the numbers from Set 1 and Set 2 (to the right).</t>
  </si>
  <si>
    <t>Set 2</t>
  </si>
  <si>
    <t>Set 3</t>
  </si>
  <si>
    <t>4%</t>
  </si>
  <si>
    <t>2%</t>
  </si>
  <si>
    <t>5%</t>
  </si>
  <si>
    <t>3%</t>
  </si>
  <si>
    <t>6%</t>
  </si>
  <si>
    <t>7%</t>
  </si>
  <si>
    <t>8%</t>
  </si>
  <si>
    <t>9%</t>
  </si>
  <si>
    <t>10%</t>
  </si>
  <si>
    <t>11%</t>
  </si>
  <si>
    <t>12%</t>
  </si>
  <si>
    <t>13%</t>
  </si>
  <si>
    <t>14%</t>
  </si>
  <si>
    <t>The projected revenue for Jan, Feb and Mar are $1000, $2000, and $2500 respectively. The projected expenses as a percentage of revenue for each month are: Rent = 25%, Operating Expenses = 35%, Administrative expenses = 10% and Miscellaneous expenses = 8.5%. Create a projected Income Statement and formatted it so it looks good.</t>
  </si>
  <si>
    <t>Rent</t>
  </si>
  <si>
    <t>Operating Expense</t>
  </si>
  <si>
    <t>Admin Expenses</t>
  </si>
  <si>
    <t>Misc. Expenses</t>
  </si>
  <si>
    <t>Create a formula in the Earned Commission column using the commission rate from the sheet named "AssumptionsFor43".</t>
  </si>
  <si>
    <t>Fix the formula in B14.</t>
  </si>
  <si>
    <r>
      <t xml:space="preserve">Array Formulas </t>
    </r>
    <r>
      <rPr>
        <sz val="11"/>
        <color theme="1"/>
        <rFont val="Calibri"/>
        <family val="2"/>
        <scheme val="minor"/>
      </rPr>
      <t>are advanced formulas that contain a formula element that operate on arrays instead of individual items and produce an array of answers.</t>
    </r>
  </si>
  <si>
    <t>Calculating formula</t>
  </si>
  <si>
    <t>Grades</t>
  </si>
  <si>
    <t>Count with 2 criteria</t>
  </si>
  <si>
    <t>Upper Limit  &lt;=</t>
  </si>
  <si>
    <t>Lower Limit  &gt;</t>
  </si>
  <si>
    <t>&lt;=4</t>
  </si>
  <si>
    <t>&gt;3.5</t>
  </si>
  <si>
    <t>&lt;=3.5</t>
  </si>
  <si>
    <t>&gt;3</t>
  </si>
  <si>
    <t>&lt;=3</t>
  </si>
  <si>
    <t>&gt;2.5</t>
  </si>
  <si>
    <t>&gt;2</t>
  </si>
  <si>
    <t>&lt;=2.5</t>
  </si>
  <si>
    <t>&lt;=2</t>
  </si>
  <si>
    <t>&gt;1.5</t>
  </si>
  <si>
    <t>Ex 11</t>
  </si>
  <si>
    <t>Ex 12</t>
  </si>
  <si>
    <t>Equal sign, COUNTIFS function (count with 2 criteria), absolute range of cells, relative cell reference.</t>
  </si>
  <si>
    <t>Equal sign, SUMIFS function (add with 2 criteria), range of cells, cell reference.</t>
  </si>
  <si>
    <t>Day</t>
  </si>
  <si>
    <t>SUM with 2 criteria</t>
  </si>
  <si>
    <t>Apple</t>
  </si>
  <si>
    <t>Orange</t>
  </si>
  <si>
    <t>Monday</t>
  </si>
  <si>
    <t>Tuesday</t>
  </si>
  <si>
    <t>Day Sold</t>
  </si>
  <si>
    <t>Wednesday</t>
  </si>
  <si>
    <t>Logicals aligned CENTER</t>
  </si>
  <si>
    <t>Maximum Calls Allowed</t>
  </si>
  <si>
    <t>Adding and Subtracting, Left to Right</t>
  </si>
  <si>
    <t>State Abbreviation</t>
  </si>
  <si>
    <t>Boolean</t>
  </si>
  <si>
    <t>Jo@yahoo</t>
  </si>
  <si>
    <t>Wage Expense</t>
  </si>
  <si>
    <t>Number of Crates Sold</t>
  </si>
  <si>
    <t xml:space="preserve">Start*(1+%Change) = End </t>
  </si>
  <si>
    <t>Depreciation</t>
  </si>
  <si>
    <t>Office Expense</t>
  </si>
  <si>
    <t>Admin Expense</t>
  </si>
  <si>
    <t>Highlight all cells in advance, then enter formula into Active Cell, then</t>
  </si>
  <si>
    <t>to populate the formula into all the highlighted cell with Ctrl + Enter.</t>
  </si>
  <si>
    <t>Ctrl + Period ( . ) = Jump from corner to corner in highlighted range.</t>
  </si>
  <si>
    <t>When cursor touching a cell reference in a formula, the F4</t>
  </si>
  <si>
    <t>key is s toggle that cycles (merry-go-rounds) through the</t>
  </si>
  <si>
    <t>four types of cell references.</t>
  </si>
  <si>
    <t>Absolute</t>
  </si>
  <si>
    <t>Worksheet</t>
  </si>
  <si>
    <t>Workbook</t>
  </si>
  <si>
    <t>3-D</t>
  </si>
  <si>
    <t>Highline Excel 2013 Class Videos 2 to 8</t>
  </si>
  <si>
    <t>Video</t>
  </si>
  <si>
    <t>Increase Decrease Formulas</t>
  </si>
  <si>
    <t>Mixed Cell References and Assumption Tables</t>
  </si>
  <si>
    <t>Relative &amp; Absolute ranges</t>
  </si>
  <si>
    <t>Highline Excel 2013 Class Video 06: Scenarios To Save Sets Of Formula Inputs</t>
  </si>
  <si>
    <t>Scenario keyboard: Alt, T, E    (old Alt keyboard from Excel 2003 and earlier)</t>
  </si>
  <si>
    <t>Highline Excel 2013 Class Video 07: Worksheet References, Workbook References, 3-D Cell References</t>
  </si>
  <si>
    <t>Sheet Reference:</t>
  </si>
  <si>
    <t>1) Type equal sign</t>
  </si>
  <si>
    <t>2) Click on sheet</t>
  </si>
  <si>
    <t>3) click on cell on "clicked on sheet"</t>
  </si>
  <si>
    <t>4) Hit Enter!!</t>
  </si>
  <si>
    <t>Don't click back on sheet with formula!!!</t>
  </si>
  <si>
    <t>Workbook Reference:</t>
  </si>
  <si>
    <t>2) Click on Workbook</t>
  </si>
  <si>
    <t>3) Click on sheet</t>
  </si>
  <si>
    <t>4) click on cell on "clicked on sheet"</t>
  </si>
  <si>
    <t>5) Hit Enter!!</t>
  </si>
  <si>
    <t>1) click on first sheet</t>
  </si>
  <si>
    <t>2) Click on cell or range</t>
  </si>
  <si>
    <t>3) HOLD SHIFT</t>
  </si>
  <si>
    <t>4) Click on last sheet</t>
  </si>
  <si>
    <t>5) Hit Enter</t>
  </si>
  <si>
    <t>Absolute Cell References are default, but you can change them.</t>
  </si>
  <si>
    <t>You can update, change, open source or break link: Data Ribbon Tab, Connections group, Edit Links</t>
  </si>
  <si>
    <t>Earned Commission</t>
  </si>
  <si>
    <t>Controlling AR Account</t>
  </si>
  <si>
    <t>2) Highlight a part of your formula which in edit mode, then hit the F9 key. BE SURE TO undo with Ctrl + Z.</t>
  </si>
  <si>
    <r>
      <rPr>
        <b/>
        <sz val="11"/>
        <color theme="1"/>
        <rFont val="Calibri"/>
        <family val="2"/>
        <scheme val="minor"/>
      </rPr>
      <t>Function argument elements</t>
    </r>
    <r>
      <rPr>
        <sz val="11"/>
        <color theme="1"/>
        <rFont val="Calibri"/>
        <family val="2"/>
        <scheme val="minor"/>
      </rPr>
      <t xml:space="preserve"> (such as a 0 in the third argument of MATCH to tell function to do an "Exact Match" lookup,or FALSE in the 4th argument of VLOOKUP to do an "Extract Match" lookup).</t>
    </r>
  </si>
  <si>
    <t>or FALSE in the 4th argument of VLOOKUP to do an "Extract Match" lookup).</t>
  </si>
  <si>
    <t>Racer</t>
  </si>
  <si>
    <t>Track</t>
  </si>
  <si>
    <t>Place</t>
  </si>
  <si>
    <t>Isaac</t>
  </si>
  <si>
    <t>SeaTac</t>
  </si>
  <si>
    <t>Zaine</t>
  </si>
  <si>
    <t>Class</t>
  </si>
  <si>
    <t>7 Int</t>
  </si>
  <si>
    <t>10 Expert</t>
  </si>
  <si>
    <t>Sumner</t>
  </si>
  <si>
    <t>Excel Table feature:</t>
  </si>
  <si>
    <t>Formatting</t>
  </si>
  <si>
    <t>Sorting</t>
  </si>
  <si>
    <t>Filtering</t>
  </si>
  <si>
    <t>Total Row</t>
  </si>
  <si>
    <t>TableTools, Design Ribbon Tab, Properties group, Table Name: "NoSpacesInName"</t>
  </si>
  <si>
    <t>Fees</t>
  </si>
  <si>
    <t>Dynamic Expandable ranges for:</t>
  </si>
  <si>
    <t>Formulas</t>
  </si>
  <si>
    <t>Charts</t>
  </si>
  <si>
    <t>Data Validation List</t>
  </si>
  <si>
    <t>PivotTables</t>
  </si>
  <si>
    <t>Table names and field names in square brackets</t>
  </si>
  <si>
    <t>Easy to read formulas</t>
  </si>
  <si>
    <t>Table formula nomenclature (structured References):</t>
  </si>
  <si>
    <t>Ctrl + T          ("List" in Excel 2003 use Ctrl + L)</t>
  </si>
  <si>
    <t xml:space="preserve"> ='Q:\[MayNetIncome.xlsx]May'!$B$2-SUM('Q:\[MayNetIncome.xlsx]May'!$B$3:$B$8)</t>
  </si>
  <si>
    <t xml:space="preserve"> =B10-B11</t>
  </si>
  <si>
    <t xml:space="preserve"> ='Q:\[MayNetIncome.xlsx]May'!$B$9</t>
  </si>
  <si>
    <t>Can type formulas on different sheets</t>
  </si>
  <si>
    <t>To lock a field you must use the syntax: [[Field]:[Field]]</t>
  </si>
  <si>
    <t>Dynamic ranges can use "typed out cell references" or Table Formaul Nomenclature</t>
  </si>
  <si>
    <t>When typing formula, list of field names &amp; other elements from table show up in a drop-down list</t>
  </si>
  <si>
    <t>Dog</t>
  </si>
  <si>
    <t>Category</t>
  </si>
  <si>
    <t>Mandy</t>
  </si>
  <si>
    <t>Food</t>
  </si>
  <si>
    <t>Accessories</t>
  </si>
  <si>
    <t>Boarding</t>
  </si>
  <si>
    <t>Fido</t>
  </si>
  <si>
    <t>Time (sec)</t>
  </si>
  <si>
    <t>Dogs</t>
  </si>
  <si>
    <t>Fluffy</t>
  </si>
  <si>
    <t>Gigi</t>
  </si>
  <si>
    <t>Thomas</t>
  </si>
  <si>
    <t>Wawa</t>
  </si>
  <si>
    <t>May Won</t>
  </si>
  <si>
    <t>Product Name</t>
  </si>
  <si>
    <t>Price</t>
  </si>
  <si>
    <t>Supplier</t>
  </si>
  <si>
    <t>GB</t>
  </si>
  <si>
    <t>TF</t>
  </si>
  <si>
    <t>Beaut</t>
  </si>
  <si>
    <t>Yanaki</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</si>
</sst>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8" formatCode="&quot;$&quot;#,##0.00_);[Red]\(&quot;$&quot;#,##0.00\)"/>
    <numFmt numFmtId="44" formatCode="_(&quot;$&quot;* #,##0.00_);_(&quot;$&quot;* \(#,##0.00\);_(&quot;$&quot;* &quot;-&quot;??_);_(@_)"/>
    <numFmt numFmtId="43" formatCode="_(* #,##0.00_);_(* \(#,##0.00\);_(* &quot;-&quot;??_);_(@_)"/>
    <numFmt numFmtId="164" formatCode="m/d;@"/>
    <numFmt numFmtId="165" formatCode="&quot;$&quot;#,##0.00"/>
    <numFmt numFmtId="166" formatCode="m/d"/>
    <numFmt numFmtId="167" formatCode="0.0%"/>
    <numFmt numFmtId="168" formatCode="&quot;$&quot;#,##0.000_);[Red]\(&quot;$&quot;#,##0.000\)"/>
    <numFmt numFmtId="169" formatCode="0.000"/>
    <numFmt numFmtId="170" formatCode="m/d/yy"/>
    <numFmt numFmtId="171" formatCode="[$-409]h:mm\ AM/PM;@"/>
  </numFmts>
  <fonts count="13" x14ac:knownFonts="1">
    <font>
      <sz val="11"/>
      <color theme="1"/>
      <name val="Calibri"/>
      <family val="2"/>
      <scheme val="minor"/>
    </font>
    <font>
      <b/>
      <sz val="11"/>
      <color theme="1"/>
      <name val="Calibri"/>
      <family val="2"/>
      <scheme val="minor"/>
    </font>
    <font>
      <sz val="11"/>
      <color theme="0"/>
      <name val="Calibri"/>
      <family val="2"/>
      <scheme val="minor"/>
    </font>
    <font>
      <strike/>
      <sz val="11"/>
      <color theme="1"/>
      <name val="Calibri"/>
      <family val="2"/>
      <scheme val="minor"/>
    </font>
    <font>
      <sz val="10"/>
      <color theme="0"/>
      <name val="Arial"/>
      <family val="2"/>
    </font>
    <font>
      <sz val="11"/>
      <color theme="1"/>
      <name val="Calibri"/>
      <family val="2"/>
      <scheme val="minor"/>
    </font>
    <font>
      <b/>
      <sz val="11"/>
      <color theme="0"/>
      <name val="Calibri"/>
      <family val="2"/>
      <scheme val="minor"/>
    </font>
    <font>
      <b/>
      <sz val="15"/>
      <color theme="1"/>
      <name val="Calibri"/>
      <family val="2"/>
      <scheme val="minor"/>
    </font>
    <font>
      <sz val="10"/>
      <name val="Arial"/>
      <family val="2"/>
    </font>
    <font>
      <sz val="20"/>
      <color theme="0"/>
      <name val="Calibri"/>
      <family val="2"/>
      <scheme val="minor"/>
    </font>
    <font>
      <b/>
      <sz val="14"/>
      <color theme="1"/>
      <name val="Calibri"/>
      <family val="2"/>
      <scheme val="minor"/>
    </font>
    <font>
      <sz val="14"/>
      <color theme="0"/>
      <name val="Calibri"/>
      <family val="2"/>
      <scheme val="minor"/>
    </font>
    <font>
      <sz val="11"/>
      <color rgb="FF000000"/>
      <name val="Calibri"/>
      <family val="2"/>
      <scheme val="minor"/>
    </font>
  </fonts>
  <fills count="21">
    <fill>
      <patternFill patternType="none"/>
    </fill>
    <fill>
      <patternFill patternType="gray125"/>
    </fill>
    <fill>
      <patternFill patternType="solid">
        <fgColor rgb="FF002060"/>
        <bgColor indexed="64"/>
      </patternFill>
    </fill>
    <fill>
      <patternFill patternType="solid">
        <fgColor rgb="FFFFCC00"/>
        <bgColor indexed="64"/>
      </patternFill>
    </fill>
    <fill>
      <patternFill patternType="solid">
        <fgColor rgb="FFFFFFCC"/>
        <bgColor indexed="64"/>
      </patternFill>
    </fill>
    <fill>
      <patternFill patternType="solid">
        <fgColor rgb="FFCCFFCC"/>
        <bgColor indexed="64"/>
      </patternFill>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rgb="FF0070C0"/>
        <bgColor indexed="64"/>
      </patternFill>
    </fill>
    <fill>
      <patternFill patternType="solid">
        <fgColor theme="7" tint="0.79998168889431442"/>
        <bgColor indexed="64"/>
      </patternFill>
    </fill>
    <fill>
      <patternFill patternType="solid">
        <fgColor indexed="13"/>
        <bgColor indexed="64"/>
      </patternFill>
    </fill>
    <fill>
      <patternFill patternType="solid">
        <fgColor indexed="43"/>
        <bgColor indexed="64"/>
      </patternFill>
    </fill>
    <fill>
      <patternFill patternType="solid">
        <fgColor theme="8" tint="-0.249977111117893"/>
        <bgColor indexed="64"/>
      </patternFill>
    </fill>
    <fill>
      <patternFill patternType="solid">
        <fgColor rgb="FF760000"/>
        <bgColor indexed="64"/>
      </patternFill>
    </fill>
    <fill>
      <patternFill patternType="solid">
        <fgColor rgb="FFFFFF99"/>
        <bgColor indexed="64"/>
      </patternFill>
    </fill>
    <fill>
      <patternFill patternType="solid">
        <fgColor rgb="FF0000FF"/>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CFF99"/>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thin">
        <color theme="0"/>
      </left>
      <right style="thin">
        <color theme="0"/>
      </right>
      <top style="thin">
        <color theme="0"/>
      </top>
      <bottom style="thin">
        <color theme="0"/>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s>
  <cellStyleXfs count="4">
    <xf numFmtId="0" fontId="0"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cellStyleXfs>
  <cellXfs count="222">
    <xf numFmtId="0" fontId="0" fillId="0" borderId="0" xfId="0"/>
    <xf numFmtId="0" fontId="2" fillId="2" borderId="1" xfId="0" applyFont="1" applyFill="1" applyBorder="1"/>
    <xf numFmtId="0" fontId="0" fillId="0" borderId="0" xfId="0" applyAlignment="1">
      <alignment wrapText="1"/>
    </xf>
    <xf numFmtId="0" fontId="0" fillId="0" borderId="1" xfId="0" applyBorder="1"/>
    <xf numFmtId="0" fontId="0" fillId="0" borderId="1" xfId="0" applyBorder="1" applyAlignment="1">
      <alignment wrapText="1"/>
    </xf>
    <xf numFmtId="0" fontId="1" fillId="0" borderId="0" xfId="0" applyFont="1"/>
    <xf numFmtId="0" fontId="0" fillId="3" borderId="2" xfId="0" applyFill="1" applyBorder="1"/>
    <xf numFmtId="0" fontId="0" fillId="3" borderId="3" xfId="0" applyFill="1" applyBorder="1"/>
    <xf numFmtId="0" fontId="0" fillId="3" borderId="4" xfId="0" applyFill="1" applyBorder="1"/>
    <xf numFmtId="0" fontId="0" fillId="3" borderId="5" xfId="0" applyFill="1" applyBorder="1"/>
    <xf numFmtId="0" fontId="0" fillId="3" borderId="0" xfId="0" applyFill="1" applyBorder="1"/>
    <xf numFmtId="0" fontId="0" fillId="3" borderId="6" xfId="0" applyFill="1" applyBorder="1"/>
    <xf numFmtId="0" fontId="0" fillId="3" borderId="7" xfId="0" applyFill="1" applyBorder="1"/>
    <xf numFmtId="0" fontId="0" fillId="3" borderId="8" xfId="0" applyFill="1" applyBorder="1"/>
    <xf numFmtId="0" fontId="0" fillId="3" borderId="9" xfId="0" applyFill="1" applyBorder="1"/>
    <xf numFmtId="0" fontId="0" fillId="4" borderId="2" xfId="0" applyFill="1" applyBorder="1" applyAlignment="1">
      <alignment wrapText="1"/>
    </xf>
    <xf numFmtId="0" fontId="0" fillId="4" borderId="3" xfId="0" applyFill="1" applyBorder="1" applyAlignment="1"/>
    <xf numFmtId="0" fontId="0" fillId="4" borderId="3" xfId="0" applyFill="1" applyBorder="1"/>
    <xf numFmtId="0" fontId="0" fillId="4" borderId="4" xfId="0" applyFill="1" applyBorder="1"/>
    <xf numFmtId="0" fontId="0" fillId="4" borderId="5" xfId="0" applyFill="1" applyBorder="1" applyAlignment="1">
      <alignment wrapText="1"/>
    </xf>
    <xf numFmtId="0" fontId="0" fillId="4" borderId="0" xfId="0" applyFill="1" applyBorder="1" applyAlignment="1"/>
    <xf numFmtId="0" fontId="0" fillId="4" borderId="0" xfId="0" applyFill="1" applyBorder="1"/>
    <xf numFmtId="0" fontId="0" fillId="4" borderId="6" xfId="0" applyFill="1" applyBorder="1"/>
    <xf numFmtId="0" fontId="1" fillId="4" borderId="0" xfId="0" applyFont="1" applyFill="1" applyBorder="1" applyAlignment="1"/>
    <xf numFmtId="0" fontId="0" fillId="4" borderId="7" xfId="0" applyFill="1" applyBorder="1"/>
    <xf numFmtId="0" fontId="0" fillId="4" borderId="8" xfId="0" applyFill="1" applyBorder="1"/>
    <xf numFmtId="0" fontId="0" fillId="4" borderId="9" xfId="0" applyFill="1" applyBorder="1"/>
    <xf numFmtId="0" fontId="0" fillId="4" borderId="5" xfId="0" applyFont="1" applyFill="1" applyBorder="1" applyAlignment="1">
      <alignment wrapText="1"/>
    </xf>
    <xf numFmtId="0" fontId="0" fillId="4" borderId="0" xfId="0" applyFont="1" applyFill="1" applyBorder="1" applyAlignment="1"/>
    <xf numFmtId="0" fontId="3" fillId="4" borderId="0" xfId="0" applyFont="1" applyFill="1" applyBorder="1"/>
    <xf numFmtId="0" fontId="3" fillId="4" borderId="6" xfId="0" applyFont="1" applyFill="1" applyBorder="1"/>
    <xf numFmtId="0" fontId="0" fillId="4" borderId="7" xfId="0" applyFill="1" applyBorder="1" applyAlignment="1">
      <alignment wrapText="1"/>
    </xf>
    <xf numFmtId="0" fontId="0" fillId="4" borderId="8" xfId="0" applyFill="1" applyBorder="1" applyAlignment="1"/>
    <xf numFmtId="0" fontId="0" fillId="4" borderId="2" xfId="0" quotePrefix="1" applyFill="1" applyBorder="1"/>
    <xf numFmtId="0" fontId="1" fillId="4" borderId="4" xfId="0" applyFont="1" applyFill="1" applyBorder="1" applyAlignment="1">
      <alignment wrapText="1"/>
    </xf>
    <xf numFmtId="0" fontId="0" fillId="4" borderId="5" xfId="0" quotePrefix="1" applyFill="1" applyBorder="1"/>
    <xf numFmtId="0" fontId="1" fillId="4" borderId="6" xfId="0" applyFont="1" applyFill="1" applyBorder="1" applyAlignment="1">
      <alignment wrapText="1"/>
    </xf>
    <xf numFmtId="0" fontId="0" fillId="4" borderId="7" xfId="0" quotePrefix="1" applyFill="1" applyBorder="1"/>
    <xf numFmtId="0" fontId="1" fillId="4" borderId="9" xfId="0" applyFont="1" applyFill="1" applyBorder="1" applyAlignment="1">
      <alignment wrapText="1"/>
    </xf>
    <xf numFmtId="0" fontId="0" fillId="4" borderId="2" xfId="0" applyFill="1" applyBorder="1"/>
    <xf numFmtId="0" fontId="0" fillId="4" borderId="5" xfId="0" applyFill="1" applyBorder="1" applyAlignment="1"/>
    <xf numFmtId="0" fontId="0" fillId="4" borderId="5" xfId="0" applyFill="1" applyBorder="1"/>
    <xf numFmtId="0" fontId="0" fillId="4" borderId="0" xfId="0" applyFill="1" applyBorder="1" applyAlignment="1">
      <alignment horizontal="left" indent="1"/>
    </xf>
    <xf numFmtId="0" fontId="0" fillId="4" borderId="0" xfId="0" applyFill="1" applyBorder="1" applyAlignment="1">
      <alignment horizontal="left" indent="2"/>
    </xf>
    <xf numFmtId="0" fontId="0" fillId="4" borderId="8" xfId="0" applyFill="1" applyBorder="1" applyAlignment="1">
      <alignment horizontal="left" indent="2"/>
    </xf>
    <xf numFmtId="14" fontId="0" fillId="0" borderId="0" xfId="0" applyNumberFormat="1"/>
    <xf numFmtId="0" fontId="0" fillId="0" borderId="0" xfId="0" applyNumberFormat="1"/>
    <xf numFmtId="0" fontId="0" fillId="4" borderId="1" xfId="0" applyFill="1" applyBorder="1"/>
    <xf numFmtId="0" fontId="0" fillId="4" borderId="1" xfId="0" applyFill="1" applyBorder="1" applyAlignment="1">
      <alignment wrapText="1"/>
    </xf>
    <xf numFmtId="0" fontId="1" fillId="4" borderId="2" xfId="0" applyFont="1" applyFill="1" applyBorder="1"/>
    <xf numFmtId="0" fontId="0" fillId="4" borderId="5" xfId="0" applyFill="1" applyBorder="1" applyAlignment="1">
      <alignment horizontal="left"/>
    </xf>
    <xf numFmtId="0" fontId="1" fillId="4" borderId="5" xfId="0" applyFont="1" applyFill="1" applyBorder="1"/>
    <xf numFmtId="0" fontId="2" fillId="2" borderId="1" xfId="0" applyFont="1" applyFill="1" applyBorder="1" applyAlignment="1">
      <alignment wrapText="1"/>
    </xf>
    <xf numFmtId="8" fontId="0" fillId="5" borderId="1" xfId="0" applyNumberFormat="1" applyFill="1" applyBorder="1"/>
    <xf numFmtId="18" fontId="0" fillId="0" borderId="1" xfId="0" applyNumberFormat="1" applyBorder="1"/>
    <xf numFmtId="0" fontId="0" fillId="4" borderId="5" xfId="0" applyFill="1" applyBorder="1" applyAlignment="1">
      <alignment horizontal="left" indent="2"/>
    </xf>
    <xf numFmtId="0" fontId="0" fillId="4" borderId="5" xfId="0" applyFont="1" applyFill="1" applyBorder="1" applyAlignment="1">
      <alignment horizontal="left" indent="2"/>
    </xf>
    <xf numFmtId="0" fontId="0" fillId="4" borderId="7" xfId="0" applyFill="1" applyBorder="1" applyAlignment="1">
      <alignment horizontal="left" indent="2"/>
    </xf>
    <xf numFmtId="0" fontId="2" fillId="2" borderId="10" xfId="0" applyFont="1" applyFill="1" applyBorder="1" applyAlignment="1">
      <alignment wrapText="1"/>
    </xf>
    <xf numFmtId="18" fontId="0" fillId="0" borderId="10" xfId="0" applyNumberFormat="1" applyBorder="1"/>
    <xf numFmtId="0" fontId="2" fillId="2" borderId="11" xfId="0" applyFont="1" applyFill="1" applyBorder="1" applyAlignment="1">
      <alignment wrapText="1"/>
    </xf>
    <xf numFmtId="0" fontId="0" fillId="5" borderId="11" xfId="0" applyNumberFormat="1" applyFill="1" applyBorder="1"/>
    <xf numFmtId="8" fontId="0" fillId="0" borderId="10" xfId="0" applyNumberFormat="1" applyBorder="1"/>
    <xf numFmtId="164" fontId="0" fillId="0" borderId="1" xfId="0" applyNumberFormat="1" applyBorder="1"/>
    <xf numFmtId="0" fontId="0" fillId="5" borderId="1" xfId="0" applyFill="1" applyBorder="1"/>
    <xf numFmtId="0" fontId="2" fillId="2" borderId="10" xfId="0" applyFont="1" applyFill="1" applyBorder="1"/>
    <xf numFmtId="0" fontId="2" fillId="6" borderId="1" xfId="0" applyFont="1" applyFill="1" applyBorder="1"/>
    <xf numFmtId="0" fontId="0" fillId="4" borderId="7" xfId="0" applyFill="1" applyBorder="1" applyAlignment="1"/>
    <xf numFmtId="0" fontId="0" fillId="4" borderId="12" xfId="0" applyFill="1" applyBorder="1"/>
    <xf numFmtId="0" fontId="0" fillId="4" borderId="13" xfId="0" applyFill="1" applyBorder="1"/>
    <xf numFmtId="0" fontId="0" fillId="4" borderId="14" xfId="0" applyFill="1" applyBorder="1"/>
    <xf numFmtId="14" fontId="0" fillId="0" borderId="1" xfId="0" applyNumberFormat="1" applyBorder="1"/>
    <xf numFmtId="0" fontId="0" fillId="0" borderId="1" xfId="0" applyBorder="1" applyAlignment="1">
      <alignment horizontal="left" indent="1"/>
    </xf>
    <xf numFmtId="0" fontId="0" fillId="4" borderId="8" xfId="0" applyFill="1" applyBorder="1" applyAlignment="1">
      <alignment horizontal="centerContinuous" wrapText="1"/>
    </xf>
    <xf numFmtId="6" fontId="0" fillId="0" borderId="1" xfId="0" applyNumberFormat="1" applyBorder="1"/>
    <xf numFmtId="6" fontId="0" fillId="0" borderId="11" xfId="0" applyNumberFormat="1" applyFill="1" applyBorder="1"/>
    <xf numFmtId="0" fontId="2" fillId="2" borderId="15" xfId="0" applyFont="1" applyFill="1" applyBorder="1" applyAlignment="1">
      <alignment wrapText="1"/>
    </xf>
    <xf numFmtId="6" fontId="0" fillId="5" borderId="15" xfId="0" applyNumberFormat="1" applyFill="1" applyBorder="1"/>
    <xf numFmtId="0" fontId="1" fillId="0" borderId="1" xfId="0" applyFont="1" applyBorder="1"/>
    <xf numFmtId="165" fontId="0" fillId="5" borderId="1" xfId="0" applyNumberFormat="1" applyFill="1" applyBorder="1"/>
    <xf numFmtId="0" fontId="0" fillId="4" borderId="5" xfId="0" applyFill="1" applyBorder="1" applyAlignment="1">
      <alignment horizontal="left" indent="10"/>
    </xf>
    <xf numFmtId="0" fontId="1" fillId="0" borderId="2" xfId="0" applyFont="1" applyBorder="1"/>
    <xf numFmtId="0" fontId="0" fillId="0" borderId="3" xfId="0" applyBorder="1"/>
    <xf numFmtId="0" fontId="0" fillId="0" borderId="4" xfId="0" applyBorder="1"/>
    <xf numFmtId="0" fontId="0" fillId="0" borderId="5" xfId="0" applyBorder="1"/>
    <xf numFmtId="0" fontId="0" fillId="0" borderId="0" xfId="0" applyBorder="1"/>
    <xf numFmtId="0" fontId="0" fillId="0" borderId="6" xfId="0" applyBorder="1"/>
    <xf numFmtId="0" fontId="0" fillId="0" borderId="7" xfId="0" applyBorder="1"/>
    <xf numFmtId="0" fontId="0" fillId="0" borderId="8" xfId="0" applyBorder="1"/>
    <xf numFmtId="0" fontId="0" fillId="0" borderId="9" xfId="0" applyBorder="1"/>
    <xf numFmtId="0" fontId="7" fillId="0" borderId="0" xfId="0" applyFont="1"/>
    <xf numFmtId="8" fontId="0" fillId="0" borderId="1" xfId="0" applyNumberFormat="1" applyBorder="1"/>
    <xf numFmtId="0" fontId="0" fillId="0" borderId="1" xfId="0" applyNumberFormat="1" applyBorder="1"/>
    <xf numFmtId="166" fontId="0" fillId="0" borderId="1" xfId="0" applyNumberFormat="1" applyBorder="1"/>
    <xf numFmtId="43" fontId="0" fillId="0" borderId="1" xfId="0" applyNumberFormat="1" applyFill="1" applyBorder="1"/>
    <xf numFmtId="43" fontId="0" fillId="5" borderId="1" xfId="0" applyNumberFormat="1" applyFill="1" applyBorder="1"/>
    <xf numFmtId="0" fontId="8" fillId="0" borderId="0" xfId="0" applyFont="1"/>
    <xf numFmtId="0" fontId="4" fillId="8" borderId="0" xfId="0" applyFont="1" applyFill="1" applyBorder="1" applyAlignment="1">
      <alignment horizontal="centerContinuous" wrapText="1"/>
    </xf>
    <xf numFmtId="0" fontId="4" fillId="2" borderId="1" xfId="0" applyFont="1" applyFill="1" applyBorder="1" applyAlignment="1"/>
    <xf numFmtId="9" fontId="4" fillId="2" borderId="1" xfId="0" applyNumberFormat="1" applyFont="1" applyFill="1" applyBorder="1"/>
    <xf numFmtId="0" fontId="4" fillId="2" borderId="1" xfId="0" applyFont="1" applyFill="1" applyBorder="1" applyAlignment="1">
      <alignment wrapText="1"/>
    </xf>
    <xf numFmtId="0" fontId="8" fillId="0" borderId="1" xfId="0" applyFont="1" applyBorder="1" applyAlignment="1">
      <alignment horizontal="left"/>
    </xf>
    <xf numFmtId="165" fontId="8" fillId="10" borderId="1" xfId="0" applyNumberFormat="1" applyFont="1" applyFill="1" applyBorder="1"/>
    <xf numFmtId="4" fontId="8" fillId="10" borderId="1" xfId="0" applyNumberFormat="1" applyFont="1" applyFill="1" applyBorder="1"/>
    <xf numFmtId="0" fontId="2" fillId="6" borderId="0" xfId="0" applyFont="1" applyFill="1" applyAlignment="1">
      <alignment horizontal="centerContinuous" wrapText="1"/>
    </xf>
    <xf numFmtId="0" fontId="0" fillId="0" borderId="0" xfId="0" applyFont="1"/>
    <xf numFmtId="0" fontId="8" fillId="0" borderId="1" xfId="0" applyFont="1" applyBorder="1" applyAlignment="1">
      <alignment wrapText="1"/>
    </xf>
    <xf numFmtId="0" fontId="8" fillId="0" borderId="0" xfId="0" applyFont="1" applyBorder="1" applyAlignment="1"/>
    <xf numFmtId="167" fontId="8" fillId="0" borderId="1" xfId="0" applyNumberFormat="1" applyFont="1" applyBorder="1"/>
    <xf numFmtId="0" fontId="2" fillId="6" borderId="1" xfId="0" applyFont="1" applyFill="1" applyBorder="1" applyAlignment="1">
      <alignment horizontal="centerContinuous" wrapText="1"/>
    </xf>
    <xf numFmtId="0" fontId="6" fillId="2" borderId="1" xfId="0" applyFont="1" applyFill="1" applyBorder="1"/>
    <xf numFmtId="0" fontId="6" fillId="2" borderId="1" xfId="0" applyFont="1" applyFill="1" applyBorder="1" applyAlignment="1">
      <alignment wrapText="1"/>
    </xf>
    <xf numFmtId="168" fontId="0" fillId="5" borderId="1" xfId="0" applyNumberFormat="1" applyFill="1" applyBorder="1"/>
    <xf numFmtId="0" fontId="0" fillId="11" borderId="1" xfId="0" applyFill="1" applyBorder="1"/>
    <xf numFmtId="43" fontId="0" fillId="0" borderId="1" xfId="1" applyNumberFormat="1" applyFont="1" applyBorder="1"/>
    <xf numFmtId="0" fontId="0" fillId="12" borderId="1" xfId="0" applyFill="1" applyBorder="1" applyAlignment="1">
      <alignment wrapText="1"/>
    </xf>
    <xf numFmtId="169" fontId="0" fillId="0" borderId="1" xfId="0" applyNumberFormat="1" applyBorder="1"/>
    <xf numFmtId="10" fontId="0" fillId="0" borderId="1" xfId="0" applyNumberFormat="1" applyBorder="1"/>
    <xf numFmtId="0" fontId="0" fillId="11" borderId="1" xfId="0" applyFill="1" applyBorder="1" applyAlignment="1">
      <alignment horizontal="centerContinuous"/>
    </xf>
    <xf numFmtId="167" fontId="2" fillId="2" borderId="1" xfId="0" applyNumberFormat="1" applyFont="1" applyFill="1" applyBorder="1"/>
    <xf numFmtId="167" fontId="0" fillId="0" borderId="1" xfId="0" applyNumberFormat="1" applyBorder="1"/>
    <xf numFmtId="0" fontId="9" fillId="13" borderId="11" xfId="0" applyFont="1" applyFill="1" applyBorder="1" applyAlignment="1">
      <alignment horizontal="centerContinuous" wrapText="1"/>
    </xf>
    <xf numFmtId="0" fontId="9" fillId="13" borderId="0" xfId="0" applyFont="1" applyFill="1" applyAlignment="1">
      <alignment horizontal="centerContinuous" wrapText="1"/>
    </xf>
    <xf numFmtId="0" fontId="10" fillId="7" borderId="12" xfId="0" applyFont="1" applyFill="1" applyBorder="1" applyAlignment="1">
      <alignment horizontal="centerContinuous" wrapText="1"/>
    </xf>
    <xf numFmtId="0" fontId="0" fillId="7" borderId="3" xfId="0" applyFill="1" applyBorder="1" applyAlignment="1">
      <alignment horizontal="centerContinuous" wrapText="1"/>
    </xf>
    <xf numFmtId="0" fontId="0" fillId="7" borderId="4" xfId="0" applyFill="1" applyBorder="1" applyAlignment="1">
      <alignment horizontal="centerContinuous" wrapText="1"/>
    </xf>
    <xf numFmtId="0" fontId="0" fillId="0" borderId="2" xfId="0" applyBorder="1"/>
    <xf numFmtId="0" fontId="6" fillId="8" borderId="16" xfId="0" applyFont="1" applyFill="1" applyBorder="1"/>
    <xf numFmtId="0" fontId="0" fillId="5" borderId="9" xfId="0" applyFill="1" applyBorder="1"/>
    <xf numFmtId="14" fontId="0" fillId="0" borderId="1" xfId="0" applyNumberFormat="1" applyFont="1" applyFill="1" applyBorder="1"/>
    <xf numFmtId="0" fontId="0" fillId="0" borderId="1" xfId="0" applyFont="1" applyFill="1" applyBorder="1"/>
    <xf numFmtId="8" fontId="0" fillId="0" borderId="1" xfId="0" applyNumberFormat="1" applyFont="1" applyFill="1" applyBorder="1"/>
    <xf numFmtId="170" fontId="0" fillId="0" borderId="1" xfId="0" applyNumberFormat="1" applyBorder="1"/>
    <xf numFmtId="6" fontId="0" fillId="5" borderId="1" xfId="0" applyNumberFormat="1" applyFill="1" applyBorder="1"/>
    <xf numFmtId="0" fontId="2" fillId="2" borderId="1" xfId="0" applyFont="1" applyFill="1" applyBorder="1" applyAlignment="1">
      <alignment horizontal="centerContinuous" wrapText="1"/>
    </xf>
    <xf numFmtId="0" fontId="1" fillId="7" borderId="1" xfId="0" applyFont="1" applyFill="1" applyBorder="1"/>
    <xf numFmtId="43" fontId="0" fillId="0" borderId="1" xfId="1" applyFont="1" applyBorder="1"/>
    <xf numFmtId="43" fontId="0" fillId="7" borderId="1" xfId="1" applyFont="1" applyFill="1" applyBorder="1"/>
    <xf numFmtId="43" fontId="0" fillId="5" borderId="1" xfId="1" applyFont="1" applyFill="1" applyBorder="1"/>
    <xf numFmtId="10" fontId="0" fillId="0" borderId="1" xfId="2" applyNumberFormat="1" applyFont="1" applyBorder="1"/>
    <xf numFmtId="0" fontId="0" fillId="0" borderId="17" xfId="0" applyBorder="1"/>
    <xf numFmtId="0" fontId="2" fillId="2" borderId="0" xfId="0" applyFont="1" applyFill="1" applyAlignment="1">
      <alignment wrapText="1"/>
    </xf>
    <xf numFmtId="0" fontId="11" fillId="14" borderId="1" xfId="0" applyFont="1" applyFill="1" applyBorder="1" applyAlignment="1">
      <alignment horizontal="centerContinuous" wrapText="1"/>
    </xf>
    <xf numFmtId="0" fontId="2" fillId="8" borderId="1" xfId="0" applyFont="1" applyFill="1" applyBorder="1"/>
    <xf numFmtId="4" fontId="0" fillId="0" borderId="1" xfId="0" applyNumberFormat="1" applyBorder="1"/>
    <xf numFmtId="0" fontId="8" fillId="0" borderId="1" xfId="0" applyFont="1" applyBorder="1" applyAlignment="1">
      <alignment horizontal="left" indent="2"/>
    </xf>
    <xf numFmtId="0" fontId="8" fillId="0" borderId="1" xfId="0" applyFont="1" applyBorder="1"/>
    <xf numFmtId="165" fontId="0" fillId="0" borderId="1" xfId="0" applyNumberFormat="1" applyBorder="1"/>
    <xf numFmtId="0" fontId="4" fillId="9" borderId="12" xfId="0" applyFont="1" applyFill="1" applyBorder="1" applyAlignment="1">
      <alignment horizontal="centerContinuous" wrapText="1"/>
    </xf>
    <xf numFmtId="0" fontId="4" fillId="9" borderId="13" xfId="0" applyFont="1" applyFill="1" applyBorder="1" applyAlignment="1">
      <alignment horizontal="centerContinuous" wrapText="1"/>
    </xf>
    <xf numFmtId="0" fontId="4" fillId="9" borderId="14" xfId="0" applyFont="1" applyFill="1" applyBorder="1" applyAlignment="1">
      <alignment horizontal="centerContinuous" wrapText="1"/>
    </xf>
    <xf numFmtId="165" fontId="8" fillId="5" borderId="1" xfId="0" applyNumberFormat="1" applyFont="1" applyFill="1" applyBorder="1"/>
    <xf numFmtId="0" fontId="12" fillId="0" borderId="0" xfId="0" applyFont="1"/>
    <xf numFmtId="2" fontId="0" fillId="0" borderId="0" xfId="0" applyNumberFormat="1"/>
    <xf numFmtId="2" fontId="0" fillId="0" borderId="17" xfId="0" applyNumberFormat="1" applyBorder="1"/>
    <xf numFmtId="0" fontId="0" fillId="15" borderId="1" xfId="0" applyFill="1" applyBorder="1" applyAlignment="1">
      <alignment horizontal="centerContinuous" wrapText="1"/>
    </xf>
    <xf numFmtId="8" fontId="0" fillId="5" borderId="1" xfId="0" quotePrefix="1" applyNumberFormat="1" applyFill="1" applyBorder="1"/>
    <xf numFmtId="49" fontId="0" fillId="5" borderId="1" xfId="0" applyNumberFormat="1" applyFill="1" applyBorder="1"/>
    <xf numFmtId="0" fontId="1" fillId="0" borderId="1" xfId="0" applyFont="1" applyBorder="1" applyAlignment="1">
      <alignment wrapText="1"/>
    </xf>
    <xf numFmtId="0" fontId="0" fillId="0" borderId="14" xfId="0" applyBorder="1"/>
    <xf numFmtId="8" fontId="0" fillId="0" borderId="14" xfId="0" applyNumberFormat="1" applyBorder="1"/>
    <xf numFmtId="8" fontId="0" fillId="5" borderId="14" xfId="0" applyNumberFormat="1" applyFill="1" applyBorder="1"/>
    <xf numFmtId="8" fontId="0" fillId="0" borderId="1" xfId="0" applyNumberFormat="1" applyFill="1" applyBorder="1"/>
    <xf numFmtId="0" fontId="1" fillId="0" borderId="1" xfId="0" applyFont="1" applyFill="1" applyBorder="1"/>
    <xf numFmtId="44" fontId="0" fillId="0" borderId="1" xfId="3" applyFont="1" applyBorder="1"/>
    <xf numFmtId="0" fontId="1" fillId="0" borderId="11" xfId="0" applyFont="1" applyBorder="1" applyAlignment="1">
      <alignment wrapText="1"/>
    </xf>
    <xf numFmtId="44" fontId="0" fillId="0" borderId="11" xfId="3" applyFont="1" applyFill="1" applyBorder="1"/>
    <xf numFmtId="0" fontId="1" fillId="0" borderId="15" xfId="0" applyFont="1" applyFill="1" applyBorder="1" applyAlignment="1">
      <alignment wrapText="1"/>
    </xf>
    <xf numFmtId="44" fontId="0" fillId="5" borderId="15" xfId="3" applyFont="1" applyFill="1" applyBorder="1"/>
    <xf numFmtId="2" fontId="0" fillId="0" borderId="1" xfId="0" applyNumberFormat="1" applyBorder="1"/>
    <xf numFmtId="2" fontId="0" fillId="0" borderId="1" xfId="0" applyNumberFormat="1" applyFont="1" applyFill="1" applyBorder="1"/>
    <xf numFmtId="2" fontId="0" fillId="0" borderId="1" xfId="0" applyNumberFormat="1" applyFont="1" applyBorder="1" applyAlignment="1">
      <alignment wrapText="1"/>
    </xf>
    <xf numFmtId="2" fontId="0" fillId="0" borderId="1" xfId="0" applyNumberFormat="1" applyFont="1" applyBorder="1"/>
    <xf numFmtId="2" fontId="0" fillId="5" borderId="1" xfId="0" applyNumberFormat="1" applyFont="1" applyFill="1" applyBorder="1" applyAlignment="1">
      <alignment wrapText="1"/>
    </xf>
    <xf numFmtId="0" fontId="0" fillId="5" borderId="1" xfId="0" applyFont="1" applyFill="1" applyBorder="1"/>
    <xf numFmtId="0" fontId="0" fillId="7" borderId="12" xfId="0" applyFill="1" applyBorder="1"/>
    <xf numFmtId="0" fontId="0" fillId="7" borderId="13" xfId="0" applyFill="1" applyBorder="1"/>
    <xf numFmtId="0" fontId="0" fillId="7" borderId="14" xfId="0" applyFill="1" applyBorder="1"/>
    <xf numFmtId="0" fontId="6" fillId="16" borderId="1" xfId="0" applyFont="1" applyFill="1" applyBorder="1"/>
    <xf numFmtId="0" fontId="0" fillId="0" borderId="1" xfId="0" applyFill="1" applyBorder="1"/>
    <xf numFmtId="0" fontId="0" fillId="5" borderId="1" xfId="0" applyNumberFormat="1" applyFill="1" applyBorder="1"/>
    <xf numFmtId="171" fontId="0" fillId="0" borderId="1" xfId="0" applyNumberFormat="1" applyBorder="1"/>
    <xf numFmtId="165" fontId="8" fillId="17" borderId="1" xfId="0" applyNumberFormat="1" applyFont="1" applyFill="1" applyBorder="1"/>
    <xf numFmtId="9" fontId="8" fillId="0" borderId="1" xfId="0" applyNumberFormat="1" applyFont="1" applyBorder="1"/>
    <xf numFmtId="165" fontId="0" fillId="0" borderId="0" xfId="0" applyNumberFormat="1"/>
    <xf numFmtId="0" fontId="0" fillId="15" borderId="12" xfId="0" applyFill="1" applyBorder="1" applyAlignment="1">
      <alignment horizontal="centerContinuous" wrapText="1"/>
    </xf>
    <xf numFmtId="0" fontId="0" fillId="15" borderId="13" xfId="0" applyFill="1" applyBorder="1" applyAlignment="1">
      <alignment horizontal="centerContinuous" wrapText="1"/>
    </xf>
    <xf numFmtId="0" fontId="0" fillId="15" borderId="14" xfId="0" applyFill="1" applyBorder="1" applyAlignment="1">
      <alignment horizontal="centerContinuous" wrapText="1"/>
    </xf>
    <xf numFmtId="9" fontId="0" fillId="0" borderId="1" xfId="2" applyFont="1" applyBorder="1"/>
    <xf numFmtId="0" fontId="2" fillId="9" borderId="1" xfId="0" applyFont="1" applyFill="1" applyBorder="1"/>
    <xf numFmtId="0" fontId="2" fillId="9" borderId="11" xfId="0" applyFont="1" applyFill="1" applyBorder="1"/>
    <xf numFmtId="0" fontId="0" fillId="5" borderId="11" xfId="0" applyFill="1" applyBorder="1"/>
    <xf numFmtId="0" fontId="2" fillId="9" borderId="15" xfId="0" applyFont="1" applyFill="1" applyBorder="1"/>
    <xf numFmtId="0" fontId="0" fillId="5" borderId="15" xfId="0" applyFill="1" applyBorder="1"/>
    <xf numFmtId="0" fontId="2" fillId="6" borderId="1" xfId="0" applyFont="1" applyFill="1" applyBorder="1" applyAlignment="1">
      <alignment horizontal="centerContinuous"/>
    </xf>
    <xf numFmtId="43" fontId="0" fillId="5" borderId="11" xfId="1" applyFont="1" applyFill="1" applyBorder="1"/>
    <xf numFmtId="44" fontId="0" fillId="5" borderId="18" xfId="3" applyFont="1" applyFill="1" applyBorder="1"/>
    <xf numFmtId="10" fontId="0" fillId="0" borderId="0" xfId="0" applyNumberFormat="1"/>
    <xf numFmtId="8" fontId="0" fillId="18" borderId="1" xfId="0" applyNumberFormat="1" applyFill="1" applyBorder="1"/>
    <xf numFmtId="8" fontId="0" fillId="19" borderId="1" xfId="0" applyNumberFormat="1" applyFill="1" applyBorder="1"/>
    <xf numFmtId="0" fontId="2" fillId="6" borderId="1" xfId="0" applyFont="1" applyFill="1" applyBorder="1" applyAlignment="1">
      <alignment wrapText="1"/>
    </xf>
    <xf numFmtId="10" fontId="0" fillId="0" borderId="0" xfId="2" applyNumberFormat="1" applyFont="1" applyBorder="1"/>
    <xf numFmtId="6" fontId="0" fillId="0" borderId="0" xfId="0" applyNumberFormat="1"/>
    <xf numFmtId="0" fontId="0" fillId="4" borderId="0" xfId="0" applyFont="1" applyFill="1" applyBorder="1"/>
    <xf numFmtId="8" fontId="0" fillId="0" borderId="0" xfId="0" applyNumberFormat="1"/>
    <xf numFmtId="0" fontId="2" fillId="0" borderId="0" xfId="0" applyFont="1"/>
    <xf numFmtId="0" fontId="11" fillId="8" borderId="0" xfId="0" applyFont="1" applyFill="1" applyAlignment="1">
      <alignment horizontal="centerContinuous" wrapText="1"/>
    </xf>
    <xf numFmtId="0" fontId="2" fillId="8" borderId="0" xfId="0" applyFont="1" applyFill="1" applyAlignment="1">
      <alignment horizontal="centerContinuous" wrapText="1"/>
    </xf>
    <xf numFmtId="0" fontId="1" fillId="0" borderId="0" xfId="0" applyFont="1" applyAlignment="1">
      <alignment horizontal="left" indent="3"/>
    </xf>
    <xf numFmtId="0" fontId="0" fillId="0" borderId="12" xfId="0" applyBorder="1"/>
    <xf numFmtId="0" fontId="0" fillId="0" borderId="13" xfId="0" applyBorder="1"/>
    <xf numFmtId="0" fontId="0" fillId="18" borderId="12" xfId="0" applyFill="1" applyBorder="1"/>
    <xf numFmtId="0" fontId="0" fillId="18" borderId="13" xfId="0" applyFill="1" applyBorder="1"/>
    <xf numFmtId="0" fontId="0" fillId="18" borderId="14" xfId="0" applyFill="1" applyBorder="1"/>
    <xf numFmtId="14" fontId="0" fillId="0" borderId="0" xfId="0" applyNumberFormat="1" applyFont="1" applyFill="1" applyBorder="1"/>
    <xf numFmtId="0" fontId="0" fillId="0" borderId="0" xfId="0" applyFont="1" applyFill="1" applyBorder="1"/>
    <xf numFmtId="8" fontId="0" fillId="0" borderId="0" xfId="0" applyNumberFormat="1" applyFont="1" applyFill="1" applyBorder="1"/>
    <xf numFmtId="0" fontId="0" fillId="0" borderId="12" xfId="0" applyBorder="1" applyAlignment="1">
      <alignment horizontal="left" indent="2"/>
    </xf>
    <xf numFmtId="0" fontId="0" fillId="18" borderId="12" xfId="0" applyFill="1" applyBorder="1" applyAlignment="1">
      <alignment horizontal="left" indent="2"/>
    </xf>
    <xf numFmtId="0" fontId="0" fillId="20" borderId="1" xfId="0" applyFill="1" applyBorder="1"/>
    <xf numFmtId="0" fontId="10" fillId="7" borderId="1" xfId="0" applyFont="1" applyFill="1" applyBorder="1" applyAlignment="1">
      <alignment horizontal="center" vertical="center" textRotation="90" wrapText="1"/>
    </xf>
    <xf numFmtId="0" fontId="10" fillId="7" borderId="12" xfId="0" applyFont="1" applyFill="1" applyBorder="1" applyAlignment="1">
      <alignment horizontal="center" vertical="center" textRotation="90" wrapText="1"/>
    </xf>
  </cellXfs>
  <cellStyles count="4">
    <cellStyle name="Comma" xfId="1" builtinId="3"/>
    <cellStyle name="Currency" xfId="3" builtinId="4"/>
    <cellStyle name="Normal" xfId="0" builtinId="0"/>
    <cellStyle name="Percent" xfId="2" builtinId="5"/>
  </cellStyles>
  <dxfs count="4">
    <dxf>
      <fill>
        <patternFill>
          <bgColor theme="4" tint="0.39994506668294322"/>
        </patternFill>
      </fill>
    </dxf>
    <dxf>
      <fill>
        <patternFill>
          <bgColor theme="4" tint="0.39994506668294322"/>
        </patternFill>
      </fill>
    </dxf>
    <dxf>
      <fill>
        <patternFill>
          <bgColor rgb="FFFFFF00"/>
        </patternFill>
      </fill>
    </dxf>
    <dxf>
      <fill>
        <patternFill>
          <bgColor rgb="FFFFFF00"/>
        </patternFill>
      </fill>
    </dxf>
  </dxfs>
  <tableStyles count="0" defaultTableStyle="TableStyleMedium2" defaultPivotStyle="PivotStyleLight16"/>
  <colors>
    <mruColors>
      <color rgb="FFCCFFCC"/>
      <color rgb="FF0000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pivotCacheDefinition" Target="pivotCache/pivotCacheDefinition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10</xdr:row>
      <xdr:rowOff>86297</xdr:rowOff>
    </xdr:from>
    <xdr:to>
      <xdr:col>5</xdr:col>
      <xdr:colOff>361091</xdr:colOff>
      <xdr:row>15</xdr:row>
      <xdr:rowOff>95822</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62747"/>
          <a:ext cx="3666266" cy="962025"/>
        </a:xfrm>
        <a:prstGeom prst="rect">
          <a:avLst/>
        </a:prstGeom>
        <a:solidFill>
          <a:schemeClr val="bg1"/>
        </a:solidFill>
      </xdr:spPr>
    </xdr:pic>
    <xdr:clientData/>
  </xdr:twoCellAnchor>
  <xdr:twoCellAnchor editAs="oneCell">
    <xdr:from>
      <xdr:col>5</xdr:col>
      <xdr:colOff>34950</xdr:colOff>
      <xdr:row>21</xdr:row>
      <xdr:rowOff>10742</xdr:rowOff>
    </xdr:from>
    <xdr:to>
      <xdr:col>7</xdr:col>
      <xdr:colOff>931</xdr:colOff>
      <xdr:row>25</xdr:row>
      <xdr:rowOff>68680</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8225" y="4182692"/>
          <a:ext cx="1089931" cy="819938"/>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10</xdr:row>
      <xdr:rowOff>86297</xdr:rowOff>
    </xdr:from>
    <xdr:to>
      <xdr:col>5</xdr:col>
      <xdr:colOff>361091</xdr:colOff>
      <xdr:row>15</xdr:row>
      <xdr:rowOff>95822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62747"/>
          <a:ext cx="3666266" cy="962025"/>
        </a:xfrm>
        <a:prstGeom prst="rect">
          <a:avLst/>
        </a:prstGeom>
        <a:solidFill>
          <a:schemeClr val="bg1"/>
        </a:solidFill>
      </xdr:spPr>
    </xdr:pic>
    <xdr:clientData/>
  </xdr:twoCellAnchor>
  <xdr:twoCellAnchor editAs="oneCell">
    <xdr:from>
      <xdr:col>5</xdr:col>
      <xdr:colOff>34950</xdr:colOff>
      <xdr:row>21</xdr:row>
      <xdr:rowOff>10742</xdr:rowOff>
    </xdr:from>
    <xdr:to>
      <xdr:col>7</xdr:col>
      <xdr:colOff>931</xdr:colOff>
      <xdr:row>25</xdr:row>
      <xdr:rowOff>68680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8225" y="4182692"/>
          <a:ext cx="1089931" cy="819938"/>
        </a:xfrm>
        <a:prstGeom prst="rect">
          <a:avLst/>
        </a:prstGeom>
        <a:solidFill>
          <a:schemeClr val="bg1"/>
        </a:solidFill>
      </xdr:spPr>
    </xdr:pic>
    <xdr:clientData/>
  </xdr:twoCellAnchor>
  <xdr:twoCellAnchor editAs="oneCell">
    <xdr:from>
      <xdr:col>0</xdr:col>
      <xdr:colOff>38100</xdr:colOff>
      <xdr:row>10</xdr:row>
      <xdr:rowOff>86297</xdr:rowOff>
    </xdr:from>
    <xdr:to>
      <xdr:col>5</xdr:col>
      <xdr:colOff>361091</xdr:colOff>
      <xdr:row>15</xdr:row>
      <xdr:rowOff>95822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600897"/>
          <a:ext cx="3666266" cy="962025"/>
        </a:xfrm>
        <a:prstGeom prst="rect">
          <a:avLst/>
        </a:prstGeom>
        <a:solidFill>
          <a:schemeClr val="bg1"/>
        </a:solidFill>
      </xdr:spPr>
    </xdr:pic>
    <xdr:clientData/>
  </xdr:twoCellAnchor>
  <xdr:twoCellAnchor editAs="oneCell">
    <xdr:from>
      <xdr:col>5</xdr:col>
      <xdr:colOff>34950</xdr:colOff>
      <xdr:row>21</xdr:row>
      <xdr:rowOff>10742</xdr:rowOff>
    </xdr:from>
    <xdr:to>
      <xdr:col>7</xdr:col>
      <xdr:colOff>931</xdr:colOff>
      <xdr:row>25</xdr:row>
      <xdr:rowOff>68680</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8225" y="4620842"/>
          <a:ext cx="1089931" cy="819938"/>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142552</xdr:colOff>
      <xdr:row>3</xdr:row>
      <xdr:rowOff>495790</xdr:rowOff>
    </xdr:from>
    <xdr:to>
      <xdr:col>9</xdr:col>
      <xdr:colOff>246225</xdr:colOff>
      <xdr:row>5</xdr:row>
      <xdr:rowOff>162959</xdr:rowOff>
    </xdr:to>
    <xdr:pic>
      <xdr:nvPicPr>
        <xdr:cNvPr id="2" name="Picture 1"/>
        <xdr:cNvPicPr>
          <a:picLocks noChangeAspect="1"/>
        </xdr:cNvPicPr>
      </xdr:nvPicPr>
      <xdr:blipFill rotWithShape="1">
        <a:blip xmlns:r="http://schemas.openxmlformats.org/officeDocument/2006/relationships" r:embed="rId1"/>
        <a:srcRect l="976" t="72514" r="12767" b="21663"/>
        <a:stretch/>
      </xdr:blipFill>
      <xdr:spPr>
        <a:xfrm>
          <a:off x="1600460" y="1059514"/>
          <a:ext cx="4853214" cy="4252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142552</xdr:colOff>
      <xdr:row>3</xdr:row>
      <xdr:rowOff>495790</xdr:rowOff>
    </xdr:from>
    <xdr:to>
      <xdr:col>9</xdr:col>
      <xdr:colOff>246225</xdr:colOff>
      <xdr:row>5</xdr:row>
      <xdr:rowOff>162959</xdr:rowOff>
    </xdr:to>
    <xdr:pic>
      <xdr:nvPicPr>
        <xdr:cNvPr id="3" name="Picture 2"/>
        <xdr:cNvPicPr>
          <a:picLocks noChangeAspect="1"/>
        </xdr:cNvPicPr>
      </xdr:nvPicPr>
      <xdr:blipFill rotWithShape="1">
        <a:blip xmlns:r="http://schemas.openxmlformats.org/officeDocument/2006/relationships" r:embed="rId1"/>
        <a:srcRect l="976" t="72514" r="12767" b="21663"/>
        <a:stretch/>
      </xdr:blipFill>
      <xdr:spPr>
        <a:xfrm>
          <a:off x="1599877" y="1067290"/>
          <a:ext cx="4847123" cy="4291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51954</xdr:colOff>
      <xdr:row>1</xdr:row>
      <xdr:rowOff>17318</xdr:rowOff>
    </xdr:from>
    <xdr:to>
      <xdr:col>11</xdr:col>
      <xdr:colOff>217310</xdr:colOff>
      <xdr:row>53</xdr:row>
      <xdr:rowOff>169718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954" y="207818"/>
          <a:ext cx="6832856" cy="10058400"/>
        </a:xfrm>
        <a:prstGeom prst="rect">
          <a:avLst/>
        </a:prstGeom>
      </xdr:spPr>
    </xdr:pic>
    <xdr:clientData/>
  </xdr:twoCellAnchor>
  <xdr:twoCellAnchor editAs="oneCell">
    <xdr:from>
      <xdr:col>13</xdr:col>
      <xdr:colOff>103909</xdr:colOff>
      <xdr:row>1</xdr:row>
      <xdr:rowOff>86591</xdr:rowOff>
    </xdr:from>
    <xdr:to>
      <xdr:col>24</xdr:col>
      <xdr:colOff>372161</xdr:colOff>
      <xdr:row>54</xdr:row>
      <xdr:rowOff>48491</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83682" y="277091"/>
          <a:ext cx="6935752" cy="100584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00VideoExcelStorage/214/2013-214/Content/SlayingExcelDragonsHomeworkCh01-09.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ichael Girvin" refreshedDate="40588.643135879633" createdVersion="4" refreshedVersion="4" minRefreshableVersion="3" recordCount="105">
  <cacheSource type="worksheet">
    <worksheetSource ref="A12:H117" sheet="HW(36an)" r:id="rId2"/>
  </cacheSource>
  <cacheFields count="8">
    <cacheField name="Date" numFmtId="169">
      <sharedItems containsSemiMixedTypes="0" containsNonDate="0" containsDate="1" containsString="0" minDate="2011-01-01T00:00:00" maxDate="2011-01-31T00:00:00"/>
    </cacheField>
    <cacheField name="Product" numFmtId="0">
      <sharedItems count="5">
        <s v="Sunshine"/>
        <s v="Carlota"/>
        <s v="Sunset"/>
        <s v="Quad"/>
        <s v="Bellen"/>
      </sharedItems>
    </cacheField>
    <cacheField name="Region" numFmtId="0">
      <sharedItems/>
    </cacheField>
    <cacheField name="SalesRep" numFmtId="0">
      <sharedItems/>
    </cacheField>
    <cacheField name="Customer" numFmtId="0">
      <sharedItems/>
    </cacheField>
    <cacheField name="Units" numFmtId="0">
      <sharedItems containsSemiMixedTypes="0" containsString="0" containsNumber="1" containsInteger="1" minValue="6" maxValue="65"/>
    </cacheField>
    <cacheField name="Sales" numFmtId="8">
      <sharedItems containsSemiMixedTypes="0" containsString="0" containsNumber="1" containsInteger="1" minValue="126" maxValue="1728"/>
    </cacheField>
    <cacheField name="COGS" numFmtId="8">
      <sharedItems containsSemiMixedTypes="0" containsString="0" containsNumber="1" minValue="55.5" maxValue="9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5">
  <r>
    <d v="2011-01-13T00:00:00"/>
    <x v="0"/>
    <s v="East"/>
    <s v="Franks"/>
    <s v="KBTB"/>
    <n v="58"/>
    <n v="1102"/>
    <n v="464"/>
  </r>
  <r>
    <d v="2011-01-15T00:00:00"/>
    <x v="0"/>
    <s v="MidWest"/>
    <s v="Sioux"/>
    <s v="MNGD"/>
    <n v="17"/>
    <n v="323"/>
    <n v="136"/>
  </r>
  <r>
    <d v="2011-01-25T00:00:00"/>
    <x v="0"/>
    <s v="West"/>
    <s v="Franks"/>
    <s v="JAQ"/>
    <n v="59"/>
    <n v="1121"/>
    <n v="472"/>
  </r>
  <r>
    <d v="2011-01-03T00:00:00"/>
    <x v="1"/>
    <s v="MidWest"/>
    <s v="Chin"/>
    <s v="FRED"/>
    <n v="55"/>
    <n v="1265"/>
    <n v="605"/>
  </r>
  <r>
    <d v="2011-01-27T00:00:00"/>
    <x v="2"/>
    <s v="MidWest"/>
    <s v="Franks"/>
    <s v="WFMI"/>
    <n v="44"/>
    <n v="924"/>
    <n v="407"/>
  </r>
  <r>
    <d v="2011-01-14T00:00:00"/>
    <x v="3"/>
    <s v="MidWest"/>
    <s v="Smith"/>
    <s v="TTT"/>
    <n v="61"/>
    <n v="1647"/>
    <n v="884.5"/>
  </r>
  <r>
    <d v="2011-01-08T00:00:00"/>
    <x v="3"/>
    <s v="MidWest"/>
    <s v="Franks"/>
    <s v="ET"/>
    <n v="50"/>
    <n v="1350"/>
    <n v="725"/>
  </r>
  <r>
    <d v="2011-01-16T00:00:00"/>
    <x v="3"/>
    <s v="East"/>
    <s v="Pham"/>
    <s v="FM"/>
    <n v="59"/>
    <n v="1593"/>
    <n v="855.5"/>
  </r>
  <r>
    <d v="2011-01-07T00:00:00"/>
    <x v="3"/>
    <s v="East"/>
    <s v="Sioux"/>
    <s v="EPP"/>
    <n v="36"/>
    <n v="972"/>
    <n v="522"/>
  </r>
  <r>
    <d v="2011-01-15T00:00:00"/>
    <x v="2"/>
    <s v="East"/>
    <s v="Chin"/>
    <s v="FRED"/>
    <n v="14"/>
    <n v="294"/>
    <n v="129.5"/>
  </r>
  <r>
    <d v="2011-01-20T00:00:00"/>
    <x v="3"/>
    <s v="South"/>
    <s v="Pham"/>
    <s v="T"/>
    <n v="38"/>
    <n v="1026"/>
    <n v="551"/>
  </r>
  <r>
    <d v="2011-01-27T00:00:00"/>
    <x v="1"/>
    <s v="MidWest"/>
    <s v="Sioux"/>
    <s v="LOP"/>
    <n v="63"/>
    <n v="1449"/>
    <n v="693"/>
  </r>
  <r>
    <d v="2011-01-08T00:00:00"/>
    <x v="0"/>
    <s v="East"/>
    <s v="Gault"/>
    <s v="PSA"/>
    <n v="9"/>
    <n v="171"/>
    <n v="72"/>
  </r>
  <r>
    <d v="2011-01-20T00:00:00"/>
    <x v="1"/>
    <s v="MidWest"/>
    <s v="Chin"/>
    <s v="T"/>
    <n v="65"/>
    <n v="1495"/>
    <n v="715"/>
  </r>
  <r>
    <d v="2011-01-05T00:00:00"/>
    <x v="3"/>
    <s v="East"/>
    <s v="Pham"/>
    <s v="AST"/>
    <n v="35"/>
    <n v="945"/>
    <n v="507.5"/>
  </r>
  <r>
    <d v="2011-01-12T00:00:00"/>
    <x v="0"/>
    <s v="West"/>
    <s v="Chin"/>
    <s v="EPP"/>
    <n v="37"/>
    <n v="703"/>
    <n v="296"/>
  </r>
  <r>
    <d v="2011-01-04T00:00:00"/>
    <x v="0"/>
    <s v="East"/>
    <s v="Pham"/>
    <s v="SFWK"/>
    <n v="55"/>
    <n v="1045"/>
    <n v="440"/>
  </r>
  <r>
    <d v="2011-01-28T00:00:00"/>
    <x v="0"/>
    <s v="South"/>
    <s v="Smith"/>
    <s v="KBTB"/>
    <n v="33"/>
    <n v="627"/>
    <n v="264"/>
  </r>
  <r>
    <d v="2011-01-04T00:00:00"/>
    <x v="1"/>
    <s v="East"/>
    <s v="Chin"/>
    <s v="WSD"/>
    <n v="28"/>
    <n v="644"/>
    <n v="308"/>
  </r>
  <r>
    <d v="2011-01-18T00:00:00"/>
    <x v="3"/>
    <s v="East"/>
    <s v="Sioux"/>
    <s v="WFMI"/>
    <n v="10"/>
    <n v="270"/>
    <n v="145"/>
  </r>
  <r>
    <d v="2011-01-21T00:00:00"/>
    <x v="4"/>
    <s v="East"/>
    <s v="Chin"/>
    <s v="QT"/>
    <n v="30"/>
    <n v="660"/>
    <n v="300"/>
  </r>
  <r>
    <d v="2011-01-01T00:00:00"/>
    <x v="0"/>
    <s v="West"/>
    <s v="Pham"/>
    <s v="TTT"/>
    <n v="26"/>
    <n v="494"/>
    <n v="208"/>
  </r>
  <r>
    <d v="2011-01-23T00:00:00"/>
    <x v="2"/>
    <s v="East"/>
    <s v="Chin"/>
    <s v="DFR"/>
    <n v="6"/>
    <n v="126"/>
    <n v="55.5"/>
  </r>
  <r>
    <d v="2011-01-25T00:00:00"/>
    <x v="3"/>
    <s v="MidWest"/>
    <s v="Franks"/>
    <s v="EPP"/>
    <n v="41"/>
    <n v="1107"/>
    <n v="594.5"/>
  </r>
  <r>
    <d v="2011-01-19T00:00:00"/>
    <x v="3"/>
    <s v="West"/>
    <s v="Smith"/>
    <s v="HII"/>
    <n v="26"/>
    <n v="702"/>
    <n v="377"/>
  </r>
  <r>
    <d v="2011-01-29T00:00:00"/>
    <x v="0"/>
    <s v="MidWest"/>
    <s v="Gault"/>
    <s v="SFWK"/>
    <n v="45"/>
    <n v="855"/>
    <n v="360"/>
  </r>
  <r>
    <d v="2011-01-29T00:00:00"/>
    <x v="2"/>
    <s v="South"/>
    <s v="Gault"/>
    <s v="ITW"/>
    <n v="15"/>
    <n v="315"/>
    <n v="138.75"/>
  </r>
  <r>
    <d v="2011-01-22T00:00:00"/>
    <x v="1"/>
    <s v="West"/>
    <s v="Chin"/>
    <s v="KBTB"/>
    <n v="65"/>
    <n v="1495"/>
    <n v="715"/>
  </r>
  <r>
    <d v="2011-01-30T00:00:00"/>
    <x v="3"/>
    <s v="East"/>
    <s v="Franks"/>
    <s v="HII"/>
    <n v="14"/>
    <n v="378"/>
    <n v="203"/>
  </r>
  <r>
    <d v="2011-01-18T00:00:00"/>
    <x v="4"/>
    <s v="West"/>
    <s v="Chin"/>
    <s v="MNGD"/>
    <n v="56"/>
    <n v="1232"/>
    <n v="560"/>
  </r>
  <r>
    <d v="2011-01-01T00:00:00"/>
    <x v="0"/>
    <s v="West"/>
    <s v="Franks"/>
    <s v="FM"/>
    <n v="11"/>
    <n v="209"/>
    <n v="88"/>
  </r>
  <r>
    <d v="2011-01-18T00:00:00"/>
    <x v="3"/>
    <s v="West"/>
    <s v="Smith"/>
    <s v="AA"/>
    <n v="40"/>
    <n v="1080"/>
    <n v="580"/>
  </r>
  <r>
    <d v="2011-01-21T00:00:00"/>
    <x v="3"/>
    <s v="MidWest"/>
    <s v="Sioux"/>
    <s v="KBTB"/>
    <n v="58"/>
    <n v="1566"/>
    <n v="841"/>
  </r>
  <r>
    <d v="2011-01-12T00:00:00"/>
    <x v="1"/>
    <s v="MidWest"/>
    <s v="Chin"/>
    <s v="WT"/>
    <n v="40"/>
    <n v="920"/>
    <n v="440"/>
  </r>
  <r>
    <d v="2011-01-16T00:00:00"/>
    <x v="3"/>
    <s v="West"/>
    <s v="Chin"/>
    <s v="PCC"/>
    <n v="40"/>
    <n v="1080"/>
    <n v="580"/>
  </r>
  <r>
    <d v="2011-01-05T00:00:00"/>
    <x v="1"/>
    <s v="South"/>
    <s v="Franks"/>
    <s v="FM"/>
    <n v="11"/>
    <n v="253"/>
    <n v="121"/>
  </r>
  <r>
    <d v="2011-01-30T00:00:00"/>
    <x v="4"/>
    <s v="West"/>
    <s v="Franks"/>
    <s v="ZAT"/>
    <n v="17"/>
    <n v="374"/>
    <n v="170"/>
  </r>
  <r>
    <d v="2011-01-15T00:00:00"/>
    <x v="3"/>
    <s v="East"/>
    <s v="Gault"/>
    <s v="WT"/>
    <n v="19"/>
    <n v="513"/>
    <n v="275.5"/>
  </r>
  <r>
    <d v="2011-01-30T00:00:00"/>
    <x v="3"/>
    <s v="MidWest"/>
    <s v="Gault"/>
    <s v="EPP"/>
    <n v="15"/>
    <n v="405"/>
    <n v="217.5"/>
  </r>
  <r>
    <d v="2011-01-16T00:00:00"/>
    <x v="0"/>
    <s v="East"/>
    <s v="Gault"/>
    <s v="WSD"/>
    <n v="57"/>
    <n v="1083"/>
    <n v="456"/>
  </r>
  <r>
    <d v="2011-01-24T00:00:00"/>
    <x v="2"/>
    <s v="MidWest"/>
    <s v="Franks"/>
    <s v="WSD"/>
    <n v="17"/>
    <n v="357"/>
    <n v="157.25"/>
  </r>
  <r>
    <d v="2011-01-26T00:00:00"/>
    <x v="1"/>
    <s v="South"/>
    <s v="Smith"/>
    <s v="TTT"/>
    <n v="31"/>
    <n v="713"/>
    <n v="341"/>
  </r>
  <r>
    <d v="2011-01-11T00:00:00"/>
    <x v="2"/>
    <s v="South"/>
    <s v="Gault"/>
    <s v="MBG"/>
    <n v="28"/>
    <n v="588"/>
    <n v="259"/>
  </r>
  <r>
    <d v="2011-01-06T00:00:00"/>
    <x v="4"/>
    <s v="MidWest"/>
    <s v="Smith"/>
    <s v="TRU"/>
    <n v="11"/>
    <n v="242"/>
    <n v="110"/>
  </r>
  <r>
    <d v="2011-01-09T00:00:00"/>
    <x v="4"/>
    <s v="East"/>
    <s v="Smith"/>
    <s v="EPP"/>
    <n v="20"/>
    <n v="440"/>
    <n v="200"/>
  </r>
  <r>
    <d v="2011-01-16T00:00:00"/>
    <x v="3"/>
    <s v="East"/>
    <s v="Sioux"/>
    <s v="PLOT"/>
    <n v="8"/>
    <n v="216"/>
    <n v="116"/>
  </r>
  <r>
    <d v="2011-01-12T00:00:00"/>
    <x v="3"/>
    <s v="West"/>
    <s v="Franks"/>
    <s v="EPP"/>
    <n v="34"/>
    <n v="918"/>
    <n v="493"/>
  </r>
  <r>
    <d v="2011-01-14T00:00:00"/>
    <x v="1"/>
    <s v="MidWest"/>
    <s v="Sioux"/>
    <s v="TRU"/>
    <n v="34"/>
    <n v="782"/>
    <n v="374"/>
  </r>
  <r>
    <d v="2011-01-02T00:00:00"/>
    <x v="0"/>
    <s v="West"/>
    <s v="Franks"/>
    <s v="BBT"/>
    <n v="16"/>
    <n v="304"/>
    <n v="128"/>
  </r>
  <r>
    <d v="2011-01-10T00:00:00"/>
    <x v="1"/>
    <s v="East"/>
    <s v="Chin"/>
    <s v="TTT"/>
    <n v="32"/>
    <n v="736"/>
    <n v="352"/>
  </r>
  <r>
    <d v="2011-01-28T00:00:00"/>
    <x v="2"/>
    <s v="MidWest"/>
    <s v="Sioux"/>
    <s v="QT"/>
    <n v="61"/>
    <n v="1281"/>
    <n v="564.25"/>
  </r>
  <r>
    <d v="2011-01-11T00:00:00"/>
    <x v="2"/>
    <s v="South"/>
    <s v="Franks"/>
    <s v="TTT"/>
    <n v="59"/>
    <n v="1239"/>
    <n v="545.75"/>
  </r>
  <r>
    <d v="2011-01-03T00:00:00"/>
    <x v="4"/>
    <s v="South"/>
    <s v="Chin"/>
    <s v="TTT"/>
    <n v="30"/>
    <n v="660"/>
    <n v="300"/>
  </r>
  <r>
    <d v="2011-01-15T00:00:00"/>
    <x v="4"/>
    <s v="MidWest"/>
    <s v="Pham"/>
    <s v="LOP"/>
    <n v="22"/>
    <n v="484"/>
    <n v="220"/>
  </r>
  <r>
    <d v="2011-01-14T00:00:00"/>
    <x v="1"/>
    <s v="West"/>
    <s v="Franks"/>
    <s v="ET"/>
    <n v="6"/>
    <n v="138"/>
    <n v="66"/>
  </r>
  <r>
    <d v="2011-01-28T00:00:00"/>
    <x v="3"/>
    <s v="MidWest"/>
    <s v="Smith"/>
    <s v="DFGH"/>
    <n v="16"/>
    <n v="432"/>
    <n v="232"/>
  </r>
  <r>
    <d v="2011-01-04T00:00:00"/>
    <x v="3"/>
    <s v="East"/>
    <s v="Sioux"/>
    <s v="MBG"/>
    <n v="19"/>
    <n v="513"/>
    <n v="275.5"/>
  </r>
  <r>
    <d v="2011-01-13T00:00:00"/>
    <x v="1"/>
    <s v="South"/>
    <s v="Chin"/>
    <s v="AA"/>
    <n v="30"/>
    <n v="690"/>
    <n v="330"/>
  </r>
  <r>
    <d v="2011-01-12T00:00:00"/>
    <x v="0"/>
    <s v="West"/>
    <s v="Pham"/>
    <s v="WFMI"/>
    <n v="62"/>
    <n v="1178"/>
    <n v="496"/>
  </r>
  <r>
    <d v="2011-01-24T00:00:00"/>
    <x v="4"/>
    <s v="MidWest"/>
    <s v="Franks"/>
    <s v="EPP"/>
    <n v="25"/>
    <n v="550"/>
    <n v="250"/>
  </r>
  <r>
    <d v="2011-01-14T00:00:00"/>
    <x v="0"/>
    <s v="West"/>
    <s v="Sioux"/>
    <s v="FM"/>
    <n v="13"/>
    <n v="247"/>
    <n v="104"/>
  </r>
  <r>
    <d v="2011-01-06T00:00:00"/>
    <x v="2"/>
    <s v="MidWest"/>
    <s v="Chin"/>
    <s v="DFR"/>
    <n v="24"/>
    <n v="504"/>
    <n v="222"/>
  </r>
  <r>
    <d v="2011-01-19T00:00:00"/>
    <x v="1"/>
    <s v="South"/>
    <s v="Pham"/>
    <s v="GRR"/>
    <n v="51"/>
    <n v="1173"/>
    <n v="561"/>
  </r>
  <r>
    <d v="2011-01-27T00:00:00"/>
    <x v="0"/>
    <s v="East"/>
    <s v="Franks"/>
    <s v="ITW"/>
    <n v="23"/>
    <n v="437"/>
    <n v="184"/>
  </r>
  <r>
    <d v="2011-01-21T00:00:00"/>
    <x v="1"/>
    <s v="West"/>
    <s v="Pham"/>
    <s v="WSD"/>
    <n v="41"/>
    <n v="943"/>
    <n v="451"/>
  </r>
  <r>
    <d v="2011-01-04T00:00:00"/>
    <x v="0"/>
    <s v="West"/>
    <s v="Pham"/>
    <s v="FM"/>
    <n v="11"/>
    <n v="209"/>
    <n v="88"/>
  </r>
  <r>
    <d v="2011-01-04T00:00:00"/>
    <x v="3"/>
    <s v="MidWest"/>
    <s v="Franks"/>
    <s v="TRU"/>
    <n v="19"/>
    <n v="513"/>
    <n v="275.5"/>
  </r>
  <r>
    <d v="2011-01-27T00:00:00"/>
    <x v="4"/>
    <s v="West"/>
    <s v="Smith"/>
    <s v="TRU"/>
    <n v="62"/>
    <n v="1364"/>
    <n v="620"/>
  </r>
  <r>
    <d v="2011-01-19T00:00:00"/>
    <x v="0"/>
    <s v="South"/>
    <s v="Pham"/>
    <s v="ITW"/>
    <n v="48"/>
    <n v="912"/>
    <n v="384"/>
  </r>
  <r>
    <d v="2011-01-11T00:00:00"/>
    <x v="4"/>
    <s v="East"/>
    <s v="Franks"/>
    <s v="MNGD"/>
    <n v="34"/>
    <n v="748"/>
    <n v="340"/>
  </r>
  <r>
    <d v="2011-01-01T00:00:00"/>
    <x v="1"/>
    <s v="MidWest"/>
    <s v="Franks"/>
    <s v="JAQ"/>
    <n v="37"/>
    <n v="851"/>
    <n v="407"/>
  </r>
  <r>
    <d v="2011-01-05T00:00:00"/>
    <x v="0"/>
    <s v="West"/>
    <s v="Sioux"/>
    <s v="WT"/>
    <n v="50"/>
    <n v="950"/>
    <n v="400"/>
  </r>
  <r>
    <d v="2011-01-15T00:00:00"/>
    <x v="1"/>
    <s v="West"/>
    <s v="Smith"/>
    <s v="TTT"/>
    <n v="51"/>
    <n v="1173"/>
    <n v="561"/>
  </r>
  <r>
    <d v="2011-01-23T00:00:00"/>
    <x v="1"/>
    <s v="West"/>
    <s v="Pham"/>
    <s v="ET"/>
    <n v="32"/>
    <n v="736"/>
    <n v="352"/>
  </r>
  <r>
    <d v="2011-01-07T00:00:00"/>
    <x v="1"/>
    <s v="South"/>
    <s v="Chin"/>
    <s v="JAQ"/>
    <n v="22"/>
    <n v="506"/>
    <n v="242"/>
  </r>
  <r>
    <d v="2011-01-16T00:00:00"/>
    <x v="1"/>
    <s v="South"/>
    <s v="Sioux"/>
    <s v="ZAT"/>
    <n v="33"/>
    <n v="759"/>
    <n v="363"/>
  </r>
  <r>
    <d v="2011-01-19T00:00:00"/>
    <x v="4"/>
    <s v="South"/>
    <s v="Pham"/>
    <s v="TTT"/>
    <n v="18"/>
    <n v="396"/>
    <n v="180"/>
  </r>
  <r>
    <d v="2011-01-28T00:00:00"/>
    <x v="0"/>
    <s v="East"/>
    <s v="Sioux"/>
    <s v="QT"/>
    <n v="17"/>
    <n v="323"/>
    <n v="136"/>
  </r>
  <r>
    <d v="2011-01-16T00:00:00"/>
    <x v="0"/>
    <s v="South"/>
    <s v="Chin"/>
    <s v="T"/>
    <n v="14"/>
    <n v="266"/>
    <n v="112"/>
  </r>
  <r>
    <d v="2011-01-15T00:00:00"/>
    <x v="0"/>
    <s v="MidWest"/>
    <s v="Pham"/>
    <s v="DFGH"/>
    <n v="54"/>
    <n v="1026"/>
    <n v="432"/>
  </r>
  <r>
    <d v="2011-01-27T00:00:00"/>
    <x v="4"/>
    <s v="East"/>
    <s v="Franks"/>
    <s v="TTT"/>
    <n v="56"/>
    <n v="1232"/>
    <n v="560"/>
  </r>
  <r>
    <d v="2011-01-28T00:00:00"/>
    <x v="4"/>
    <s v="South"/>
    <s v="Sioux"/>
    <s v="WT"/>
    <n v="47"/>
    <n v="1034"/>
    <n v="470"/>
  </r>
  <r>
    <d v="2011-01-28T00:00:00"/>
    <x v="4"/>
    <s v="West"/>
    <s v="Chin"/>
    <s v="KPSA"/>
    <n v="65"/>
    <n v="1430"/>
    <n v="650"/>
  </r>
  <r>
    <d v="2011-01-15T00:00:00"/>
    <x v="2"/>
    <s v="MidWest"/>
    <s v="Franks"/>
    <s v="FM"/>
    <n v="56"/>
    <n v="1176"/>
    <n v="518"/>
  </r>
  <r>
    <d v="2011-01-14T00:00:00"/>
    <x v="3"/>
    <s v="South"/>
    <s v="Pham"/>
    <s v="AA"/>
    <n v="64"/>
    <n v="1728"/>
    <n v="928"/>
  </r>
  <r>
    <d v="2011-01-19T00:00:00"/>
    <x v="2"/>
    <s v="MidWest"/>
    <s v="Smith"/>
    <s v="DDH"/>
    <n v="63"/>
    <n v="1323"/>
    <n v="582.75"/>
  </r>
  <r>
    <d v="2011-01-29T00:00:00"/>
    <x v="2"/>
    <s v="West"/>
    <s v="Smith"/>
    <s v="TTT"/>
    <n v="25"/>
    <n v="525"/>
    <n v="231.25"/>
  </r>
  <r>
    <d v="2011-01-17T00:00:00"/>
    <x v="3"/>
    <s v="East"/>
    <s v="Franks"/>
    <s v="SFWK"/>
    <n v="15"/>
    <n v="405"/>
    <n v="217.5"/>
  </r>
  <r>
    <d v="2011-01-30T00:00:00"/>
    <x v="0"/>
    <s v="MidWest"/>
    <s v="Franks"/>
    <s v="LOP"/>
    <n v="42"/>
    <n v="798"/>
    <n v="336"/>
  </r>
  <r>
    <d v="2011-01-16T00:00:00"/>
    <x v="2"/>
    <s v="MidWest"/>
    <s v="Pham"/>
    <s v="JAQ"/>
    <n v="31"/>
    <n v="651"/>
    <n v="286.75"/>
  </r>
  <r>
    <d v="2011-01-19T00:00:00"/>
    <x v="2"/>
    <s v="West"/>
    <s v="Gault"/>
    <s v="QT"/>
    <n v="32"/>
    <n v="672"/>
    <n v="296"/>
  </r>
  <r>
    <d v="2011-01-05T00:00:00"/>
    <x v="1"/>
    <s v="South"/>
    <s v="Sioux"/>
    <s v="WSD"/>
    <n v="34"/>
    <n v="782"/>
    <n v="374"/>
  </r>
  <r>
    <d v="2011-01-18T00:00:00"/>
    <x v="1"/>
    <s v="East"/>
    <s v="Chin"/>
    <s v="TRU"/>
    <n v="50"/>
    <n v="1150"/>
    <n v="550"/>
  </r>
  <r>
    <d v="2011-01-08T00:00:00"/>
    <x v="0"/>
    <s v="South"/>
    <s v="Sioux"/>
    <s v="ZAT"/>
    <n v="53"/>
    <n v="1007"/>
    <n v="424"/>
  </r>
  <r>
    <d v="2011-01-10T00:00:00"/>
    <x v="3"/>
    <s v="MidWest"/>
    <s v="Sioux"/>
    <s v="KPSA"/>
    <n v="27"/>
    <n v="729"/>
    <n v="391.5"/>
  </r>
  <r>
    <d v="2011-01-05T00:00:00"/>
    <x v="4"/>
    <s v="East"/>
    <s v="Gault"/>
    <s v="WSD"/>
    <n v="23"/>
    <n v="506"/>
    <n v="230"/>
  </r>
  <r>
    <d v="2011-01-15T00:00:00"/>
    <x v="3"/>
    <s v="West"/>
    <s v="Chin"/>
    <s v="MBG"/>
    <n v="12"/>
    <n v="324"/>
    <n v="174"/>
  </r>
  <r>
    <d v="2011-01-17T00:00:00"/>
    <x v="3"/>
    <s v="West"/>
    <s v="Chin"/>
    <s v="HII"/>
    <n v="50"/>
    <n v="1350"/>
    <n v="725"/>
  </r>
  <r>
    <d v="2011-01-26T00:00:00"/>
    <x v="0"/>
    <s v="MidWest"/>
    <s v="Smith"/>
    <s v="TRU"/>
    <n v="49"/>
    <n v="931"/>
    <n v="392"/>
  </r>
  <r>
    <d v="2011-01-11T00:00:00"/>
    <x v="2"/>
    <s v="South"/>
    <s v="Smith"/>
    <s v="HII"/>
    <n v="17"/>
    <n v="357"/>
    <n v="157.25"/>
  </r>
  <r>
    <d v="2011-01-04T00:00:00"/>
    <x v="3"/>
    <s v="South"/>
    <s v="Sioux"/>
    <s v="ET"/>
    <n v="12"/>
    <n v="324"/>
    <n v="174"/>
  </r>
  <r>
    <d v="2011-01-21T00:00:00"/>
    <x v="1"/>
    <s v="MidWest"/>
    <s v="Chin"/>
    <s v="BBT"/>
    <n v="53"/>
    <n v="1219"/>
    <n v="583"/>
  </r>
  <r>
    <d v="2011-01-22T00:00:00"/>
    <x v="2"/>
    <s v="West"/>
    <s v="Franks"/>
    <s v="AA"/>
    <n v="41"/>
    <n v="861"/>
    <n v="379.25"/>
  </r>
  <r>
    <d v="2011-01-10T00:00:00"/>
    <x v="0"/>
    <s v="East"/>
    <s v="Franks"/>
    <s v="JAQ"/>
    <n v="8"/>
    <n v="152"/>
    <n v="64"/>
  </r>
  <r>
    <d v="2011-01-12T00:00:00"/>
    <x v="2"/>
    <s v="South"/>
    <s v="Franks"/>
    <s v="QT"/>
    <n v="47"/>
    <n v="987"/>
    <n v="434.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K3:L9" firstHeaderRow="1" firstDataRow="1" firstDataCol="1"/>
  <pivotFields count="8">
    <pivotField compact="0" numFmtId="170" outline="0" showAll="0"/>
    <pivotField axis="axisRow" compact="0" outline="0" showAll="0">
      <items count="6">
        <item x="4"/>
        <item x="1"/>
        <item x="3"/>
        <item x="2"/>
        <item x="0"/>
        <item t="default"/>
      </items>
    </pivotField>
    <pivotField compact="0" outline="0" showAll="0"/>
    <pivotField compact="0" outline="0" showAll="0"/>
    <pivotField compact="0" outline="0" showAll="0"/>
    <pivotField compact="0" outline="0" showAll="0"/>
    <pivotField compact="0" numFmtId="8" outline="0" showAll="0"/>
    <pivotField dataField="1" compact="0" numFmtId="8" outline="0" showAll="0"/>
  </pivotFields>
  <rowFields count="1">
    <field x="1"/>
  </rowFields>
  <rowItems count="6">
    <i>
      <x/>
    </i>
    <i>
      <x v="1"/>
    </i>
    <i>
      <x v="2"/>
    </i>
    <i>
      <x v="3"/>
    </i>
    <i>
      <x v="4"/>
    </i>
    <i t="grand">
      <x/>
    </i>
  </rowItems>
  <colItems count="1">
    <i/>
  </colItems>
  <dataFields count="1">
    <dataField name="Sum of COGS" fld="7" baseField="1" baseItem="2" numFmtId="165"/>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ivotTable" Target="../pivotTables/pivotTable1.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18"/>
  <sheetViews>
    <sheetView tabSelected="1" zoomScale="130" zoomScaleNormal="130" workbookViewId="0">
      <selection activeCell="C21" sqref="C21"/>
    </sheetView>
  </sheetViews>
  <sheetFormatPr defaultRowHeight="15" x14ac:dyDescent="0.25"/>
  <cols>
    <col min="1" max="1" width="46.28515625" bestFit="1" customWidth="1"/>
    <col min="7" max="7" width="10.85546875" customWidth="1"/>
  </cols>
  <sheetData>
    <row r="1" spans="1:2" ht="18.75" x14ac:dyDescent="0.3">
      <c r="A1" s="206" t="s">
        <v>662</v>
      </c>
      <c r="B1" s="207"/>
    </row>
    <row r="2" spans="1:2" x14ac:dyDescent="0.25">
      <c r="A2" s="1" t="s">
        <v>4</v>
      </c>
      <c r="B2" s="189" t="s">
        <v>663</v>
      </c>
    </row>
    <row r="3" spans="1:2" x14ac:dyDescent="0.25">
      <c r="A3" s="3" t="s">
        <v>188</v>
      </c>
      <c r="B3" s="3">
        <v>2</v>
      </c>
    </row>
    <row r="4" spans="1:2" x14ac:dyDescent="0.25">
      <c r="A4" s="72" t="s">
        <v>1</v>
      </c>
      <c r="B4" s="3">
        <v>2</v>
      </c>
    </row>
    <row r="5" spans="1:2" x14ac:dyDescent="0.25">
      <c r="A5" s="72" t="s">
        <v>0</v>
      </c>
      <c r="B5" s="3">
        <v>2</v>
      </c>
    </row>
    <row r="6" spans="1:2" x14ac:dyDescent="0.25">
      <c r="A6" s="3" t="s">
        <v>187</v>
      </c>
      <c r="B6" s="3">
        <v>3</v>
      </c>
    </row>
    <row r="7" spans="1:2" x14ac:dyDescent="0.25">
      <c r="A7" s="3" t="s">
        <v>664</v>
      </c>
      <c r="B7" s="3">
        <v>4</v>
      </c>
    </row>
    <row r="8" spans="1:2" x14ac:dyDescent="0.25">
      <c r="A8" s="3" t="s">
        <v>2</v>
      </c>
      <c r="B8" s="3">
        <v>5</v>
      </c>
    </row>
    <row r="9" spans="1:2" x14ac:dyDescent="0.25">
      <c r="A9" s="72" t="s">
        <v>436</v>
      </c>
      <c r="B9" s="3">
        <v>5</v>
      </c>
    </row>
    <row r="10" spans="1:2" x14ac:dyDescent="0.25">
      <c r="A10" s="72" t="s">
        <v>658</v>
      </c>
      <c r="B10" s="3">
        <v>5</v>
      </c>
    </row>
    <row r="11" spans="1:2" x14ac:dyDescent="0.25">
      <c r="A11" s="72" t="s">
        <v>451</v>
      </c>
      <c r="B11" s="3">
        <v>5</v>
      </c>
    </row>
    <row r="12" spans="1:2" ht="30" x14ac:dyDescent="0.25">
      <c r="A12" s="4" t="s">
        <v>5</v>
      </c>
      <c r="B12" s="3">
        <v>5</v>
      </c>
    </row>
    <row r="13" spans="1:2" x14ac:dyDescent="0.25">
      <c r="A13" s="3" t="s">
        <v>3</v>
      </c>
      <c r="B13" s="3">
        <v>6</v>
      </c>
    </row>
    <row r="14" spans="1:2" x14ac:dyDescent="0.25">
      <c r="A14" s="3" t="s">
        <v>2</v>
      </c>
      <c r="B14" s="3">
        <v>7</v>
      </c>
    </row>
    <row r="15" spans="1:2" x14ac:dyDescent="0.25">
      <c r="A15" s="72" t="s">
        <v>659</v>
      </c>
      <c r="B15" s="3">
        <v>7</v>
      </c>
    </row>
    <row r="16" spans="1:2" x14ac:dyDescent="0.25">
      <c r="A16" s="72" t="s">
        <v>660</v>
      </c>
      <c r="B16" s="3">
        <v>7</v>
      </c>
    </row>
    <row r="17" spans="1:2" x14ac:dyDescent="0.25">
      <c r="A17" s="72" t="s">
        <v>661</v>
      </c>
      <c r="B17" s="3">
        <v>7</v>
      </c>
    </row>
    <row r="18" spans="1:2" x14ac:dyDescent="0.25">
      <c r="A18" s="3" t="s">
        <v>268</v>
      </c>
      <c r="B18" s="3">
        <v>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2"/>
  <sheetViews>
    <sheetView workbookViewId="0">
      <selection activeCell="C21" sqref="C21"/>
    </sheetView>
  </sheetViews>
  <sheetFormatPr defaultColWidth="9.140625" defaultRowHeight="15" x14ac:dyDescent="0.25"/>
  <cols>
    <col min="1" max="1" width="11.28515625" customWidth="1"/>
    <col min="2" max="7" width="10.5703125" bestFit="1" customWidth="1"/>
    <col min="10" max="10" width="4.85546875" customWidth="1"/>
  </cols>
  <sheetData>
    <row r="1" spans="1:7" x14ac:dyDescent="0.25">
      <c r="B1" s="113" t="s">
        <v>321</v>
      </c>
      <c r="C1" s="113" t="s">
        <v>322</v>
      </c>
      <c r="D1" s="113" t="s">
        <v>323</v>
      </c>
      <c r="E1" s="113" t="s">
        <v>324</v>
      </c>
      <c r="F1" s="113" t="s">
        <v>260</v>
      </c>
      <c r="G1" s="113" t="s">
        <v>325</v>
      </c>
    </row>
    <row r="2" spans="1:7" x14ac:dyDescent="0.25">
      <c r="A2" s="5" t="s">
        <v>193</v>
      </c>
      <c r="B2" s="114">
        <v>20000</v>
      </c>
      <c r="C2" s="95">
        <f>B2*$B$4</f>
        <v>20299.999999999996</v>
      </c>
      <c r="D2" s="95">
        <f t="shared" ref="D2:G2" si="0">C2*$B$4</f>
        <v>20604.499999999993</v>
      </c>
      <c r="E2" s="95">
        <f>D2*$B$4</f>
        <v>20913.56749999999</v>
      </c>
      <c r="F2" s="95">
        <f t="shared" si="0"/>
        <v>21227.271012499987</v>
      </c>
      <c r="G2" s="95">
        <f t="shared" si="0"/>
        <v>21545.680077687484</v>
      </c>
    </row>
    <row r="4" spans="1:7" ht="45" x14ac:dyDescent="0.25">
      <c r="A4" s="115" t="s">
        <v>326</v>
      </c>
      <c r="B4" s="116">
        <v>1.0149999999999999</v>
      </c>
    </row>
    <row r="8" spans="1:7" x14ac:dyDescent="0.25">
      <c r="A8" s="1" t="s">
        <v>234</v>
      </c>
      <c r="B8" s="1" t="s">
        <v>327</v>
      </c>
      <c r="C8" s="1" t="s">
        <v>235</v>
      </c>
    </row>
    <row r="9" spans="1:7" x14ac:dyDescent="0.25">
      <c r="A9" s="91">
        <v>1000</v>
      </c>
      <c r="B9" s="117">
        <v>0.1</v>
      </c>
      <c r="C9" s="53">
        <f>A9*(1+B9)</f>
        <v>1100</v>
      </c>
      <c r="E9" t="s">
        <v>648</v>
      </c>
    </row>
    <row r="10" spans="1:7" x14ac:dyDescent="0.25">
      <c r="A10" s="91">
        <v>1000</v>
      </c>
      <c r="B10" s="117">
        <v>-0.1</v>
      </c>
      <c r="C10" s="53">
        <f>A10*(1+B10)</f>
        <v>900</v>
      </c>
    </row>
    <row r="12" spans="1:7" x14ac:dyDescent="0.25">
      <c r="A12" t="s">
        <v>328</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
  <sheetViews>
    <sheetView zoomScale="70" zoomScaleNormal="70" workbookViewId="0">
      <selection activeCell="C21" sqref="C21"/>
    </sheetView>
  </sheetViews>
  <sheetFormatPr defaultRowHeight="15" x14ac:dyDescent="0.25"/>
  <sheetData>
    <row r="1" spans="1:1" x14ac:dyDescent="0.25">
      <c r="A1" t="s">
        <v>437</v>
      </c>
    </row>
  </sheetData>
  <pageMargins left="0.7" right="0.7" top="0.75" bottom="0.75" header="0.3" footer="0.3"/>
  <pageSetup scale="82" orientation="portrait" r:id="rId1"/>
  <headerFooter>
    <oddFooter>&amp;L&amp;F&amp;CPage &amp;P of &amp;N&amp;R&amp;A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12"/>
  <sheetViews>
    <sheetView zoomScale="190" zoomScaleNormal="190" workbookViewId="0">
      <selection activeCell="C21" sqref="C21"/>
    </sheetView>
  </sheetViews>
  <sheetFormatPr defaultColWidth="17.140625" defaultRowHeight="15" x14ac:dyDescent="0.25"/>
  <cols>
    <col min="1" max="1" width="6.85546875" bestFit="1" customWidth="1"/>
    <col min="2" max="2" width="13.85546875" bestFit="1" customWidth="1"/>
    <col min="3" max="3" width="14.28515625" bestFit="1" customWidth="1"/>
    <col min="4" max="4" width="11.28515625" bestFit="1" customWidth="1"/>
    <col min="258" max="258" width="11.85546875" bestFit="1" customWidth="1"/>
    <col min="259" max="259" width="10.5703125" bestFit="1" customWidth="1"/>
    <col min="514" max="514" width="11.85546875" bestFit="1" customWidth="1"/>
    <col min="515" max="515" width="10.5703125" bestFit="1" customWidth="1"/>
    <col min="770" max="770" width="11.85546875" bestFit="1" customWidth="1"/>
    <col min="771" max="771" width="10.5703125" bestFit="1" customWidth="1"/>
    <col min="1026" max="1026" width="11.85546875" bestFit="1" customWidth="1"/>
    <col min="1027" max="1027" width="10.5703125" bestFit="1" customWidth="1"/>
    <col min="1282" max="1282" width="11.85546875" bestFit="1" customWidth="1"/>
    <col min="1283" max="1283" width="10.5703125" bestFit="1" customWidth="1"/>
    <col min="1538" max="1538" width="11.85546875" bestFit="1" customWidth="1"/>
    <col min="1539" max="1539" width="10.5703125" bestFit="1" customWidth="1"/>
    <col min="1794" max="1794" width="11.85546875" bestFit="1" customWidth="1"/>
    <col min="1795" max="1795" width="10.5703125" bestFit="1" customWidth="1"/>
    <col min="2050" max="2050" width="11.85546875" bestFit="1" customWidth="1"/>
    <col min="2051" max="2051" width="10.5703125" bestFit="1" customWidth="1"/>
    <col min="2306" max="2306" width="11.85546875" bestFit="1" customWidth="1"/>
    <col min="2307" max="2307" width="10.5703125" bestFit="1" customWidth="1"/>
    <col min="2562" max="2562" width="11.85546875" bestFit="1" customWidth="1"/>
    <col min="2563" max="2563" width="10.5703125" bestFit="1" customWidth="1"/>
    <col min="2818" max="2818" width="11.85546875" bestFit="1" customWidth="1"/>
    <col min="2819" max="2819" width="10.5703125" bestFit="1" customWidth="1"/>
    <col min="3074" max="3074" width="11.85546875" bestFit="1" customWidth="1"/>
    <col min="3075" max="3075" width="10.5703125" bestFit="1" customWidth="1"/>
    <col min="3330" max="3330" width="11.85546875" bestFit="1" customWidth="1"/>
    <col min="3331" max="3331" width="10.5703125" bestFit="1" customWidth="1"/>
    <col min="3586" max="3586" width="11.85546875" bestFit="1" customWidth="1"/>
    <col min="3587" max="3587" width="10.5703125" bestFit="1" customWidth="1"/>
    <col min="3842" max="3842" width="11.85546875" bestFit="1" customWidth="1"/>
    <col min="3843" max="3843" width="10.5703125" bestFit="1" customWidth="1"/>
    <col min="4098" max="4098" width="11.85546875" bestFit="1" customWidth="1"/>
    <col min="4099" max="4099" width="10.5703125" bestFit="1" customWidth="1"/>
    <col min="4354" max="4354" width="11.85546875" bestFit="1" customWidth="1"/>
    <col min="4355" max="4355" width="10.5703125" bestFit="1" customWidth="1"/>
    <col min="4610" max="4610" width="11.85546875" bestFit="1" customWidth="1"/>
    <col min="4611" max="4611" width="10.5703125" bestFit="1" customWidth="1"/>
    <col min="4866" max="4866" width="11.85546875" bestFit="1" customWidth="1"/>
    <col min="4867" max="4867" width="10.5703125" bestFit="1" customWidth="1"/>
    <col min="5122" max="5122" width="11.85546875" bestFit="1" customWidth="1"/>
    <col min="5123" max="5123" width="10.5703125" bestFit="1" customWidth="1"/>
    <col min="5378" max="5378" width="11.85546875" bestFit="1" customWidth="1"/>
    <col min="5379" max="5379" width="10.5703125" bestFit="1" customWidth="1"/>
    <col min="5634" max="5634" width="11.85546875" bestFit="1" customWidth="1"/>
    <col min="5635" max="5635" width="10.5703125" bestFit="1" customWidth="1"/>
    <col min="5890" max="5890" width="11.85546875" bestFit="1" customWidth="1"/>
    <col min="5891" max="5891" width="10.5703125" bestFit="1" customWidth="1"/>
    <col min="6146" max="6146" width="11.85546875" bestFit="1" customWidth="1"/>
    <col min="6147" max="6147" width="10.5703125" bestFit="1" customWidth="1"/>
    <col min="6402" max="6402" width="11.85546875" bestFit="1" customWidth="1"/>
    <col min="6403" max="6403" width="10.5703125" bestFit="1" customWidth="1"/>
    <col min="6658" max="6658" width="11.85546875" bestFit="1" customWidth="1"/>
    <col min="6659" max="6659" width="10.5703125" bestFit="1" customWidth="1"/>
    <col min="6914" max="6914" width="11.85546875" bestFit="1" customWidth="1"/>
    <col min="6915" max="6915" width="10.5703125" bestFit="1" customWidth="1"/>
    <col min="7170" max="7170" width="11.85546875" bestFit="1" customWidth="1"/>
    <col min="7171" max="7171" width="10.5703125" bestFit="1" customWidth="1"/>
    <col min="7426" max="7426" width="11.85546875" bestFit="1" customWidth="1"/>
    <col min="7427" max="7427" width="10.5703125" bestFit="1" customWidth="1"/>
    <col min="7682" max="7682" width="11.85546875" bestFit="1" customWidth="1"/>
    <col min="7683" max="7683" width="10.5703125" bestFit="1" customWidth="1"/>
    <col min="7938" max="7938" width="11.85546875" bestFit="1" customWidth="1"/>
    <col min="7939" max="7939" width="10.5703125" bestFit="1" customWidth="1"/>
    <col min="8194" max="8194" width="11.85546875" bestFit="1" customWidth="1"/>
    <col min="8195" max="8195" width="10.5703125" bestFit="1" customWidth="1"/>
    <col min="8450" max="8450" width="11.85546875" bestFit="1" customWidth="1"/>
    <col min="8451" max="8451" width="10.5703125" bestFit="1" customWidth="1"/>
    <col min="8706" max="8706" width="11.85546875" bestFit="1" customWidth="1"/>
    <col min="8707" max="8707" width="10.5703125" bestFit="1" customWidth="1"/>
    <col min="8962" max="8962" width="11.85546875" bestFit="1" customWidth="1"/>
    <col min="8963" max="8963" width="10.5703125" bestFit="1" customWidth="1"/>
    <col min="9218" max="9218" width="11.85546875" bestFit="1" customWidth="1"/>
    <col min="9219" max="9219" width="10.5703125" bestFit="1" customWidth="1"/>
    <col min="9474" max="9474" width="11.85546875" bestFit="1" customWidth="1"/>
    <col min="9475" max="9475" width="10.5703125" bestFit="1" customWidth="1"/>
    <col min="9730" max="9730" width="11.85546875" bestFit="1" customWidth="1"/>
    <col min="9731" max="9731" width="10.5703125" bestFit="1" customWidth="1"/>
    <col min="9986" max="9986" width="11.85546875" bestFit="1" customWidth="1"/>
    <col min="9987" max="9987" width="10.5703125" bestFit="1" customWidth="1"/>
    <col min="10242" max="10242" width="11.85546875" bestFit="1" customWidth="1"/>
    <col min="10243" max="10243" width="10.5703125" bestFit="1" customWidth="1"/>
    <col min="10498" max="10498" width="11.85546875" bestFit="1" customWidth="1"/>
    <col min="10499" max="10499" width="10.5703125" bestFit="1" customWidth="1"/>
    <col min="10754" max="10754" width="11.85546875" bestFit="1" customWidth="1"/>
    <col min="10755" max="10755" width="10.5703125" bestFit="1" customWidth="1"/>
    <col min="11010" max="11010" width="11.85546875" bestFit="1" customWidth="1"/>
    <col min="11011" max="11011" width="10.5703125" bestFit="1" customWidth="1"/>
    <col min="11266" max="11266" width="11.85546875" bestFit="1" customWidth="1"/>
    <col min="11267" max="11267" width="10.5703125" bestFit="1" customWidth="1"/>
    <col min="11522" max="11522" width="11.85546875" bestFit="1" customWidth="1"/>
    <col min="11523" max="11523" width="10.5703125" bestFit="1" customWidth="1"/>
    <col min="11778" max="11778" width="11.85546875" bestFit="1" customWidth="1"/>
    <col min="11779" max="11779" width="10.5703125" bestFit="1" customWidth="1"/>
    <col min="12034" max="12034" width="11.85546875" bestFit="1" customWidth="1"/>
    <col min="12035" max="12035" width="10.5703125" bestFit="1" customWidth="1"/>
    <col min="12290" max="12290" width="11.85546875" bestFit="1" customWidth="1"/>
    <col min="12291" max="12291" width="10.5703125" bestFit="1" customWidth="1"/>
    <col min="12546" max="12546" width="11.85546875" bestFit="1" customWidth="1"/>
    <col min="12547" max="12547" width="10.5703125" bestFit="1" customWidth="1"/>
    <col min="12802" max="12802" width="11.85546875" bestFit="1" customWidth="1"/>
    <col min="12803" max="12803" width="10.5703125" bestFit="1" customWidth="1"/>
    <col min="13058" max="13058" width="11.85546875" bestFit="1" customWidth="1"/>
    <col min="13059" max="13059" width="10.5703125" bestFit="1" customWidth="1"/>
    <col min="13314" max="13314" width="11.85546875" bestFit="1" customWidth="1"/>
    <col min="13315" max="13315" width="10.5703125" bestFit="1" customWidth="1"/>
    <col min="13570" max="13570" width="11.85546875" bestFit="1" customWidth="1"/>
    <col min="13571" max="13571" width="10.5703125" bestFit="1" customWidth="1"/>
    <col min="13826" max="13826" width="11.85546875" bestFit="1" customWidth="1"/>
    <col min="13827" max="13827" width="10.5703125" bestFit="1" customWidth="1"/>
    <col min="14082" max="14082" width="11.85546875" bestFit="1" customWidth="1"/>
    <col min="14083" max="14083" width="10.5703125" bestFit="1" customWidth="1"/>
    <col min="14338" max="14338" width="11.85546875" bestFit="1" customWidth="1"/>
    <col min="14339" max="14339" width="10.5703125" bestFit="1" customWidth="1"/>
    <col min="14594" max="14594" width="11.85546875" bestFit="1" customWidth="1"/>
    <col min="14595" max="14595" width="10.5703125" bestFit="1" customWidth="1"/>
    <col min="14850" max="14850" width="11.85546875" bestFit="1" customWidth="1"/>
    <col min="14851" max="14851" width="10.5703125" bestFit="1" customWidth="1"/>
    <col min="15106" max="15106" width="11.85546875" bestFit="1" customWidth="1"/>
    <col min="15107" max="15107" width="10.5703125" bestFit="1" customWidth="1"/>
    <col min="15362" max="15362" width="11.85546875" bestFit="1" customWidth="1"/>
    <col min="15363" max="15363" width="10.5703125" bestFit="1" customWidth="1"/>
    <col min="15618" max="15618" width="11.85546875" bestFit="1" customWidth="1"/>
    <col min="15619" max="15619" width="10.5703125" bestFit="1" customWidth="1"/>
    <col min="15874" max="15874" width="11.85546875" bestFit="1" customWidth="1"/>
    <col min="15875" max="15875" width="10.5703125" bestFit="1" customWidth="1"/>
    <col min="16130" max="16130" width="11.85546875" bestFit="1" customWidth="1"/>
    <col min="16131" max="16131" width="10.5703125" bestFit="1" customWidth="1"/>
  </cols>
  <sheetData>
    <row r="1" spans="1:4" x14ac:dyDescent="0.25">
      <c r="A1" s="78" t="s">
        <v>256</v>
      </c>
      <c r="B1" s="78" t="s">
        <v>257</v>
      </c>
      <c r="C1" s="78" t="s">
        <v>258</v>
      </c>
      <c r="D1" s="78" t="s">
        <v>197</v>
      </c>
    </row>
    <row r="2" spans="1:4" x14ac:dyDescent="0.25">
      <c r="A2" s="3" t="s">
        <v>220</v>
      </c>
      <c r="B2" s="94">
        <v>20000</v>
      </c>
      <c r="C2" s="94">
        <v>13050</v>
      </c>
      <c r="D2" s="95"/>
    </row>
    <row r="3" spans="1:4" x14ac:dyDescent="0.25">
      <c r="A3" s="3" t="s">
        <v>221</v>
      </c>
      <c r="B3" s="94">
        <v>20300</v>
      </c>
      <c r="C3" s="94">
        <v>13245.75</v>
      </c>
      <c r="D3" s="95"/>
    </row>
    <row r="4" spans="1:4" x14ac:dyDescent="0.25">
      <c r="A4" s="3" t="s">
        <v>231</v>
      </c>
      <c r="B4" s="94">
        <v>20604.5</v>
      </c>
      <c r="C4" s="94">
        <v>13444.449999999999</v>
      </c>
      <c r="D4" s="95"/>
    </row>
    <row r="5" spans="1:4" x14ac:dyDescent="0.25">
      <c r="A5" s="3" t="s">
        <v>259</v>
      </c>
      <c r="B5" s="94">
        <v>20913.57</v>
      </c>
      <c r="C5" s="94">
        <v>13646.11</v>
      </c>
      <c r="D5" s="95"/>
    </row>
    <row r="6" spans="1:4" x14ac:dyDescent="0.25">
      <c r="A6" s="3" t="s">
        <v>260</v>
      </c>
      <c r="B6" s="94">
        <v>21227.27</v>
      </c>
      <c r="C6" s="94">
        <v>13850.809999999998</v>
      </c>
      <c r="D6" s="95"/>
    </row>
    <row r="7" spans="1:4" x14ac:dyDescent="0.25">
      <c r="A7" s="3" t="s">
        <v>261</v>
      </c>
      <c r="B7" s="94">
        <v>21545.68</v>
      </c>
      <c r="C7" s="94">
        <v>14058.539999999999</v>
      </c>
      <c r="D7" s="95"/>
    </row>
    <row r="9" spans="1:4" x14ac:dyDescent="0.25">
      <c r="A9" t="s">
        <v>436</v>
      </c>
    </row>
    <row r="11" spans="1:4" x14ac:dyDescent="0.25">
      <c r="A11" t="s">
        <v>652</v>
      </c>
    </row>
    <row r="12" spans="1:4" x14ac:dyDescent="0.25">
      <c r="A12" t="s">
        <v>653</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2"/>
  <sheetViews>
    <sheetView zoomScale="130" zoomScaleNormal="130" workbookViewId="0">
      <selection activeCell="C21" sqref="C21"/>
    </sheetView>
  </sheetViews>
  <sheetFormatPr defaultColWidth="17.140625" defaultRowHeight="15" x14ac:dyDescent="0.25"/>
  <cols>
    <col min="1" max="1" width="6.85546875" bestFit="1" customWidth="1"/>
    <col min="2" max="2" width="13.85546875" bestFit="1" customWidth="1"/>
    <col min="3" max="3" width="14.28515625" bestFit="1" customWidth="1"/>
    <col min="4" max="4" width="11.28515625" bestFit="1" customWidth="1"/>
    <col min="258" max="258" width="11.85546875" bestFit="1" customWidth="1"/>
    <col min="259" max="259" width="10.5703125" bestFit="1" customWidth="1"/>
    <col min="514" max="514" width="11.85546875" bestFit="1" customWidth="1"/>
    <col min="515" max="515" width="10.5703125" bestFit="1" customWidth="1"/>
    <col min="770" max="770" width="11.85546875" bestFit="1" customWidth="1"/>
    <col min="771" max="771" width="10.5703125" bestFit="1" customWidth="1"/>
    <col min="1026" max="1026" width="11.85546875" bestFit="1" customWidth="1"/>
    <col min="1027" max="1027" width="10.5703125" bestFit="1" customWidth="1"/>
    <col min="1282" max="1282" width="11.85546875" bestFit="1" customWidth="1"/>
    <col min="1283" max="1283" width="10.5703125" bestFit="1" customWidth="1"/>
    <col min="1538" max="1538" width="11.85546875" bestFit="1" customWidth="1"/>
    <col min="1539" max="1539" width="10.5703125" bestFit="1" customWidth="1"/>
    <col min="1794" max="1794" width="11.85546875" bestFit="1" customWidth="1"/>
    <col min="1795" max="1795" width="10.5703125" bestFit="1" customWidth="1"/>
    <col min="2050" max="2050" width="11.85546875" bestFit="1" customWidth="1"/>
    <col min="2051" max="2051" width="10.5703125" bestFit="1" customWidth="1"/>
    <col min="2306" max="2306" width="11.85546875" bestFit="1" customWidth="1"/>
    <col min="2307" max="2307" width="10.5703125" bestFit="1" customWidth="1"/>
    <col min="2562" max="2562" width="11.85546875" bestFit="1" customWidth="1"/>
    <col min="2563" max="2563" width="10.5703125" bestFit="1" customWidth="1"/>
    <col min="2818" max="2818" width="11.85546875" bestFit="1" customWidth="1"/>
    <col min="2819" max="2819" width="10.5703125" bestFit="1" customWidth="1"/>
    <col min="3074" max="3074" width="11.85546875" bestFit="1" customWidth="1"/>
    <col min="3075" max="3075" width="10.5703125" bestFit="1" customWidth="1"/>
    <col min="3330" max="3330" width="11.85546875" bestFit="1" customWidth="1"/>
    <col min="3331" max="3331" width="10.5703125" bestFit="1" customWidth="1"/>
    <col min="3586" max="3586" width="11.85546875" bestFit="1" customWidth="1"/>
    <col min="3587" max="3587" width="10.5703125" bestFit="1" customWidth="1"/>
    <col min="3842" max="3842" width="11.85546875" bestFit="1" customWidth="1"/>
    <col min="3843" max="3843" width="10.5703125" bestFit="1" customWidth="1"/>
    <col min="4098" max="4098" width="11.85546875" bestFit="1" customWidth="1"/>
    <col min="4099" max="4099" width="10.5703125" bestFit="1" customWidth="1"/>
    <col min="4354" max="4354" width="11.85546875" bestFit="1" customWidth="1"/>
    <col min="4355" max="4355" width="10.5703125" bestFit="1" customWidth="1"/>
    <col min="4610" max="4610" width="11.85546875" bestFit="1" customWidth="1"/>
    <col min="4611" max="4611" width="10.5703125" bestFit="1" customWidth="1"/>
    <col min="4866" max="4866" width="11.85546875" bestFit="1" customWidth="1"/>
    <col min="4867" max="4867" width="10.5703125" bestFit="1" customWidth="1"/>
    <col min="5122" max="5122" width="11.85546875" bestFit="1" customWidth="1"/>
    <col min="5123" max="5123" width="10.5703125" bestFit="1" customWidth="1"/>
    <col min="5378" max="5378" width="11.85546875" bestFit="1" customWidth="1"/>
    <col min="5379" max="5379" width="10.5703125" bestFit="1" customWidth="1"/>
    <col min="5634" max="5634" width="11.85546875" bestFit="1" customWidth="1"/>
    <col min="5635" max="5635" width="10.5703125" bestFit="1" customWidth="1"/>
    <col min="5890" max="5890" width="11.85546875" bestFit="1" customWidth="1"/>
    <col min="5891" max="5891" width="10.5703125" bestFit="1" customWidth="1"/>
    <col min="6146" max="6146" width="11.85546875" bestFit="1" customWidth="1"/>
    <col min="6147" max="6147" width="10.5703125" bestFit="1" customWidth="1"/>
    <col min="6402" max="6402" width="11.85546875" bestFit="1" customWidth="1"/>
    <col min="6403" max="6403" width="10.5703125" bestFit="1" customWidth="1"/>
    <col min="6658" max="6658" width="11.85546875" bestFit="1" customWidth="1"/>
    <col min="6659" max="6659" width="10.5703125" bestFit="1" customWidth="1"/>
    <col min="6914" max="6914" width="11.85546875" bestFit="1" customWidth="1"/>
    <col min="6915" max="6915" width="10.5703125" bestFit="1" customWidth="1"/>
    <col min="7170" max="7170" width="11.85546875" bestFit="1" customWidth="1"/>
    <col min="7171" max="7171" width="10.5703125" bestFit="1" customWidth="1"/>
    <col min="7426" max="7426" width="11.85546875" bestFit="1" customWidth="1"/>
    <col min="7427" max="7427" width="10.5703125" bestFit="1" customWidth="1"/>
    <col min="7682" max="7682" width="11.85546875" bestFit="1" customWidth="1"/>
    <col min="7683" max="7683" width="10.5703125" bestFit="1" customWidth="1"/>
    <col min="7938" max="7938" width="11.85546875" bestFit="1" customWidth="1"/>
    <col min="7939" max="7939" width="10.5703125" bestFit="1" customWidth="1"/>
    <col min="8194" max="8194" width="11.85546875" bestFit="1" customWidth="1"/>
    <col min="8195" max="8195" width="10.5703125" bestFit="1" customWidth="1"/>
    <col min="8450" max="8450" width="11.85546875" bestFit="1" customWidth="1"/>
    <col min="8451" max="8451" width="10.5703125" bestFit="1" customWidth="1"/>
    <col min="8706" max="8706" width="11.85546875" bestFit="1" customWidth="1"/>
    <col min="8707" max="8707" width="10.5703125" bestFit="1" customWidth="1"/>
    <col min="8962" max="8962" width="11.85546875" bestFit="1" customWidth="1"/>
    <col min="8963" max="8963" width="10.5703125" bestFit="1" customWidth="1"/>
    <col min="9218" max="9218" width="11.85546875" bestFit="1" customWidth="1"/>
    <col min="9219" max="9219" width="10.5703125" bestFit="1" customWidth="1"/>
    <col min="9474" max="9474" width="11.85546875" bestFit="1" customWidth="1"/>
    <col min="9475" max="9475" width="10.5703125" bestFit="1" customWidth="1"/>
    <col min="9730" max="9730" width="11.85546875" bestFit="1" customWidth="1"/>
    <col min="9731" max="9731" width="10.5703125" bestFit="1" customWidth="1"/>
    <col min="9986" max="9986" width="11.85546875" bestFit="1" customWidth="1"/>
    <col min="9987" max="9987" width="10.5703125" bestFit="1" customWidth="1"/>
    <col min="10242" max="10242" width="11.85546875" bestFit="1" customWidth="1"/>
    <col min="10243" max="10243" width="10.5703125" bestFit="1" customWidth="1"/>
    <col min="10498" max="10498" width="11.85546875" bestFit="1" customWidth="1"/>
    <col min="10499" max="10499" width="10.5703125" bestFit="1" customWidth="1"/>
    <col min="10754" max="10754" width="11.85546875" bestFit="1" customWidth="1"/>
    <col min="10755" max="10755" width="10.5703125" bestFit="1" customWidth="1"/>
    <col min="11010" max="11010" width="11.85546875" bestFit="1" customWidth="1"/>
    <col min="11011" max="11011" width="10.5703125" bestFit="1" customWidth="1"/>
    <col min="11266" max="11266" width="11.85546875" bestFit="1" customWidth="1"/>
    <col min="11267" max="11267" width="10.5703125" bestFit="1" customWidth="1"/>
    <col min="11522" max="11522" width="11.85546875" bestFit="1" customWidth="1"/>
    <col min="11523" max="11523" width="10.5703125" bestFit="1" customWidth="1"/>
    <col min="11778" max="11778" width="11.85546875" bestFit="1" customWidth="1"/>
    <col min="11779" max="11779" width="10.5703125" bestFit="1" customWidth="1"/>
    <col min="12034" max="12034" width="11.85546875" bestFit="1" customWidth="1"/>
    <col min="12035" max="12035" width="10.5703125" bestFit="1" customWidth="1"/>
    <col min="12290" max="12290" width="11.85546875" bestFit="1" customWidth="1"/>
    <col min="12291" max="12291" width="10.5703125" bestFit="1" customWidth="1"/>
    <col min="12546" max="12546" width="11.85546875" bestFit="1" customWidth="1"/>
    <col min="12547" max="12547" width="10.5703125" bestFit="1" customWidth="1"/>
    <col min="12802" max="12802" width="11.85546875" bestFit="1" customWidth="1"/>
    <col min="12803" max="12803" width="10.5703125" bestFit="1" customWidth="1"/>
    <col min="13058" max="13058" width="11.85546875" bestFit="1" customWidth="1"/>
    <col min="13059" max="13059" width="10.5703125" bestFit="1" customWidth="1"/>
    <col min="13314" max="13314" width="11.85546875" bestFit="1" customWidth="1"/>
    <col min="13315" max="13315" width="10.5703125" bestFit="1" customWidth="1"/>
    <col min="13570" max="13570" width="11.85546875" bestFit="1" customWidth="1"/>
    <col min="13571" max="13571" width="10.5703125" bestFit="1" customWidth="1"/>
    <col min="13826" max="13826" width="11.85546875" bestFit="1" customWidth="1"/>
    <col min="13827" max="13827" width="10.5703125" bestFit="1" customWidth="1"/>
    <col min="14082" max="14082" width="11.85546875" bestFit="1" customWidth="1"/>
    <col min="14083" max="14083" width="10.5703125" bestFit="1" customWidth="1"/>
    <col min="14338" max="14338" width="11.85546875" bestFit="1" customWidth="1"/>
    <col min="14339" max="14339" width="10.5703125" bestFit="1" customWidth="1"/>
    <col min="14594" max="14594" width="11.85546875" bestFit="1" customWidth="1"/>
    <col min="14595" max="14595" width="10.5703125" bestFit="1" customWidth="1"/>
    <col min="14850" max="14850" width="11.85546875" bestFit="1" customWidth="1"/>
    <col min="14851" max="14851" width="10.5703125" bestFit="1" customWidth="1"/>
    <col min="15106" max="15106" width="11.85546875" bestFit="1" customWidth="1"/>
    <col min="15107" max="15107" width="10.5703125" bestFit="1" customWidth="1"/>
    <col min="15362" max="15362" width="11.85546875" bestFit="1" customWidth="1"/>
    <col min="15363" max="15363" width="10.5703125" bestFit="1" customWidth="1"/>
    <col min="15618" max="15618" width="11.85546875" bestFit="1" customWidth="1"/>
    <col min="15619" max="15619" width="10.5703125" bestFit="1" customWidth="1"/>
    <col min="15874" max="15874" width="11.85546875" bestFit="1" customWidth="1"/>
    <col min="15875" max="15875" width="10.5703125" bestFit="1" customWidth="1"/>
    <col min="16130" max="16130" width="11.85546875" bestFit="1" customWidth="1"/>
    <col min="16131" max="16131" width="10.5703125" bestFit="1" customWidth="1"/>
  </cols>
  <sheetData>
    <row r="1" spans="1:4" x14ac:dyDescent="0.25">
      <c r="A1" s="78" t="s">
        <v>256</v>
      </c>
      <c r="B1" s="78" t="s">
        <v>257</v>
      </c>
      <c r="C1" s="78" t="s">
        <v>258</v>
      </c>
      <c r="D1" s="78" t="s">
        <v>197</v>
      </c>
    </row>
    <row r="2" spans="1:4" x14ac:dyDescent="0.25">
      <c r="A2" s="3" t="s">
        <v>220</v>
      </c>
      <c r="B2" s="94">
        <v>20000</v>
      </c>
      <c r="C2" s="94">
        <v>13050</v>
      </c>
      <c r="D2" s="95">
        <f t="shared" ref="D2:D7" si="0">B2-C2</f>
        <v>6950</v>
      </c>
    </row>
    <row r="3" spans="1:4" x14ac:dyDescent="0.25">
      <c r="A3" s="3" t="s">
        <v>221</v>
      </c>
      <c r="B3" s="94">
        <v>20300</v>
      </c>
      <c r="C3" s="94">
        <v>13245.75</v>
      </c>
      <c r="D3" s="95">
        <f t="shared" si="0"/>
        <v>7054.25</v>
      </c>
    </row>
    <row r="4" spans="1:4" x14ac:dyDescent="0.25">
      <c r="A4" s="3" t="s">
        <v>231</v>
      </c>
      <c r="B4" s="94">
        <v>20604.5</v>
      </c>
      <c r="C4" s="94">
        <v>13444.449999999999</v>
      </c>
      <c r="D4" s="95">
        <f t="shared" si="0"/>
        <v>7160.0500000000011</v>
      </c>
    </row>
    <row r="5" spans="1:4" x14ac:dyDescent="0.25">
      <c r="A5" s="3" t="s">
        <v>259</v>
      </c>
      <c r="B5" s="94">
        <v>20913.57</v>
      </c>
      <c r="C5" s="94">
        <v>13646.11</v>
      </c>
      <c r="D5" s="95">
        <f t="shared" si="0"/>
        <v>7267.4599999999991</v>
      </c>
    </row>
    <row r="6" spans="1:4" x14ac:dyDescent="0.25">
      <c r="A6" s="3" t="s">
        <v>260</v>
      </c>
      <c r="B6" s="94">
        <v>21227.27</v>
      </c>
      <c r="C6" s="94">
        <v>13850.809999999998</v>
      </c>
      <c r="D6" s="95">
        <f t="shared" si="0"/>
        <v>7376.4600000000028</v>
      </c>
    </row>
    <row r="7" spans="1:4" x14ac:dyDescent="0.25">
      <c r="A7" s="3" t="s">
        <v>261</v>
      </c>
      <c r="B7" s="94">
        <v>21545.68</v>
      </c>
      <c r="C7" s="94">
        <v>14058.539999999999</v>
      </c>
      <c r="D7" s="95">
        <f t="shared" si="0"/>
        <v>7487.1400000000012</v>
      </c>
    </row>
    <row r="9" spans="1:4" x14ac:dyDescent="0.25">
      <c r="A9" t="s">
        <v>436</v>
      </c>
    </row>
    <row r="11" spans="1:4" x14ac:dyDescent="0.25">
      <c r="A11" t="s">
        <v>652</v>
      </c>
    </row>
    <row r="12" spans="1:4" x14ac:dyDescent="0.25">
      <c r="A12" t="s">
        <v>653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27"/>
  <sheetViews>
    <sheetView zoomScale="171" zoomScaleNormal="171" workbookViewId="0">
      <selection activeCell="C21" sqref="C21"/>
    </sheetView>
  </sheetViews>
  <sheetFormatPr defaultRowHeight="12.75" x14ac:dyDescent="0.2"/>
  <cols>
    <col min="1" max="1" width="15.5703125" style="96" customWidth="1"/>
    <col min="2" max="4" width="10.5703125" style="96" customWidth="1"/>
    <col min="5" max="7" width="9.7109375" style="96" customWidth="1"/>
    <col min="8" max="8" width="24.7109375" style="96" customWidth="1"/>
    <col min="9" max="9" width="9.140625" style="96"/>
    <col min="10" max="10" width="1.5703125" style="96" customWidth="1"/>
    <col min="11" max="12" width="9.140625" style="96"/>
    <col min="13" max="13" width="18" style="96" customWidth="1"/>
    <col min="14" max="256" width="9.140625" style="96"/>
    <col min="257" max="257" width="12.7109375" style="96" customWidth="1"/>
    <col min="258" max="264" width="10.7109375" style="96" customWidth="1"/>
    <col min="265" max="512" width="9.140625" style="96"/>
    <col min="513" max="513" width="12.7109375" style="96" customWidth="1"/>
    <col min="514" max="520" width="10.7109375" style="96" customWidth="1"/>
    <col min="521" max="768" width="9.140625" style="96"/>
    <col min="769" max="769" width="12.7109375" style="96" customWidth="1"/>
    <col min="770" max="776" width="10.7109375" style="96" customWidth="1"/>
    <col min="777" max="1024" width="9.140625" style="96"/>
    <col min="1025" max="1025" width="12.7109375" style="96" customWidth="1"/>
    <col min="1026" max="1032" width="10.7109375" style="96" customWidth="1"/>
    <col min="1033" max="1280" width="9.140625" style="96"/>
    <col min="1281" max="1281" width="12.7109375" style="96" customWidth="1"/>
    <col min="1282" max="1288" width="10.7109375" style="96" customWidth="1"/>
    <col min="1289" max="1536" width="9.140625" style="96"/>
    <col min="1537" max="1537" width="12.7109375" style="96" customWidth="1"/>
    <col min="1538" max="1544" width="10.7109375" style="96" customWidth="1"/>
    <col min="1545" max="1792" width="9.140625" style="96"/>
    <col min="1793" max="1793" width="12.7109375" style="96" customWidth="1"/>
    <col min="1794" max="1800" width="10.7109375" style="96" customWidth="1"/>
    <col min="1801" max="2048" width="9.140625" style="96"/>
    <col min="2049" max="2049" width="12.7109375" style="96" customWidth="1"/>
    <col min="2050" max="2056" width="10.7109375" style="96" customWidth="1"/>
    <col min="2057" max="2304" width="9.140625" style="96"/>
    <col min="2305" max="2305" width="12.7109375" style="96" customWidth="1"/>
    <col min="2306" max="2312" width="10.7109375" style="96" customWidth="1"/>
    <col min="2313" max="2560" width="9.140625" style="96"/>
    <col min="2561" max="2561" width="12.7109375" style="96" customWidth="1"/>
    <col min="2562" max="2568" width="10.7109375" style="96" customWidth="1"/>
    <col min="2569" max="2816" width="9.140625" style="96"/>
    <col min="2817" max="2817" width="12.7109375" style="96" customWidth="1"/>
    <col min="2818" max="2824" width="10.7109375" style="96" customWidth="1"/>
    <col min="2825" max="3072" width="9.140625" style="96"/>
    <col min="3073" max="3073" width="12.7109375" style="96" customWidth="1"/>
    <col min="3074" max="3080" width="10.7109375" style="96" customWidth="1"/>
    <col min="3081" max="3328" width="9.140625" style="96"/>
    <col min="3329" max="3329" width="12.7109375" style="96" customWidth="1"/>
    <col min="3330" max="3336" width="10.7109375" style="96" customWidth="1"/>
    <col min="3337" max="3584" width="9.140625" style="96"/>
    <col min="3585" max="3585" width="12.7109375" style="96" customWidth="1"/>
    <col min="3586" max="3592" width="10.7109375" style="96" customWidth="1"/>
    <col min="3593" max="3840" width="9.140625" style="96"/>
    <col min="3841" max="3841" width="12.7109375" style="96" customWidth="1"/>
    <col min="3842" max="3848" width="10.7109375" style="96" customWidth="1"/>
    <col min="3849" max="4096" width="9.140625" style="96"/>
    <col min="4097" max="4097" width="12.7109375" style="96" customWidth="1"/>
    <col min="4098" max="4104" width="10.7109375" style="96" customWidth="1"/>
    <col min="4105" max="4352" width="9.140625" style="96"/>
    <col min="4353" max="4353" width="12.7109375" style="96" customWidth="1"/>
    <col min="4354" max="4360" width="10.7109375" style="96" customWidth="1"/>
    <col min="4361" max="4608" width="9.140625" style="96"/>
    <col min="4609" max="4609" width="12.7109375" style="96" customWidth="1"/>
    <col min="4610" max="4616" width="10.7109375" style="96" customWidth="1"/>
    <col min="4617" max="4864" width="9.140625" style="96"/>
    <col min="4865" max="4865" width="12.7109375" style="96" customWidth="1"/>
    <col min="4866" max="4872" width="10.7109375" style="96" customWidth="1"/>
    <col min="4873" max="5120" width="9.140625" style="96"/>
    <col min="5121" max="5121" width="12.7109375" style="96" customWidth="1"/>
    <col min="5122" max="5128" width="10.7109375" style="96" customWidth="1"/>
    <col min="5129" max="5376" width="9.140625" style="96"/>
    <col min="5377" max="5377" width="12.7109375" style="96" customWidth="1"/>
    <col min="5378" max="5384" width="10.7109375" style="96" customWidth="1"/>
    <col min="5385" max="5632" width="9.140625" style="96"/>
    <col min="5633" max="5633" width="12.7109375" style="96" customWidth="1"/>
    <col min="5634" max="5640" width="10.7109375" style="96" customWidth="1"/>
    <col min="5641" max="5888" width="9.140625" style="96"/>
    <col min="5889" max="5889" width="12.7109375" style="96" customWidth="1"/>
    <col min="5890" max="5896" width="10.7109375" style="96" customWidth="1"/>
    <col min="5897" max="6144" width="9.140625" style="96"/>
    <col min="6145" max="6145" width="12.7109375" style="96" customWidth="1"/>
    <col min="6146" max="6152" width="10.7109375" style="96" customWidth="1"/>
    <col min="6153" max="6400" width="9.140625" style="96"/>
    <col min="6401" max="6401" width="12.7109375" style="96" customWidth="1"/>
    <col min="6402" max="6408" width="10.7109375" style="96" customWidth="1"/>
    <col min="6409" max="6656" width="9.140625" style="96"/>
    <col min="6657" max="6657" width="12.7109375" style="96" customWidth="1"/>
    <col min="6658" max="6664" width="10.7109375" style="96" customWidth="1"/>
    <col min="6665" max="6912" width="9.140625" style="96"/>
    <col min="6913" max="6913" width="12.7109375" style="96" customWidth="1"/>
    <col min="6914" max="6920" width="10.7109375" style="96" customWidth="1"/>
    <col min="6921" max="7168" width="9.140625" style="96"/>
    <col min="7169" max="7169" width="12.7109375" style="96" customWidth="1"/>
    <col min="7170" max="7176" width="10.7109375" style="96" customWidth="1"/>
    <col min="7177" max="7424" width="9.140625" style="96"/>
    <col min="7425" max="7425" width="12.7109375" style="96" customWidth="1"/>
    <col min="7426" max="7432" width="10.7109375" style="96" customWidth="1"/>
    <col min="7433" max="7680" width="9.140625" style="96"/>
    <col min="7681" max="7681" width="12.7109375" style="96" customWidth="1"/>
    <col min="7682" max="7688" width="10.7109375" style="96" customWidth="1"/>
    <col min="7689" max="7936" width="9.140625" style="96"/>
    <col min="7937" max="7937" width="12.7109375" style="96" customWidth="1"/>
    <col min="7938" max="7944" width="10.7109375" style="96" customWidth="1"/>
    <col min="7945" max="8192" width="9.140625" style="96"/>
    <col min="8193" max="8193" width="12.7109375" style="96" customWidth="1"/>
    <col min="8194" max="8200" width="10.7109375" style="96" customWidth="1"/>
    <col min="8201" max="8448" width="9.140625" style="96"/>
    <col min="8449" max="8449" width="12.7109375" style="96" customWidth="1"/>
    <col min="8450" max="8456" width="10.7109375" style="96" customWidth="1"/>
    <col min="8457" max="8704" width="9.140625" style="96"/>
    <col min="8705" max="8705" width="12.7109375" style="96" customWidth="1"/>
    <col min="8706" max="8712" width="10.7109375" style="96" customWidth="1"/>
    <col min="8713" max="8960" width="9.140625" style="96"/>
    <col min="8961" max="8961" width="12.7109375" style="96" customWidth="1"/>
    <col min="8962" max="8968" width="10.7109375" style="96" customWidth="1"/>
    <col min="8969" max="9216" width="9.140625" style="96"/>
    <col min="9217" max="9217" width="12.7109375" style="96" customWidth="1"/>
    <col min="9218" max="9224" width="10.7109375" style="96" customWidth="1"/>
    <col min="9225" max="9472" width="9.140625" style="96"/>
    <col min="9473" max="9473" width="12.7109375" style="96" customWidth="1"/>
    <col min="9474" max="9480" width="10.7109375" style="96" customWidth="1"/>
    <col min="9481" max="9728" width="9.140625" style="96"/>
    <col min="9729" max="9729" width="12.7109375" style="96" customWidth="1"/>
    <col min="9730" max="9736" width="10.7109375" style="96" customWidth="1"/>
    <col min="9737" max="9984" width="9.140625" style="96"/>
    <col min="9985" max="9985" width="12.7109375" style="96" customWidth="1"/>
    <col min="9986" max="9992" width="10.7109375" style="96" customWidth="1"/>
    <col min="9993" max="10240" width="9.140625" style="96"/>
    <col min="10241" max="10241" width="12.7109375" style="96" customWidth="1"/>
    <col min="10242" max="10248" width="10.7109375" style="96" customWidth="1"/>
    <col min="10249" max="10496" width="9.140625" style="96"/>
    <col min="10497" max="10497" width="12.7109375" style="96" customWidth="1"/>
    <col min="10498" max="10504" width="10.7109375" style="96" customWidth="1"/>
    <col min="10505" max="10752" width="9.140625" style="96"/>
    <col min="10753" max="10753" width="12.7109375" style="96" customWidth="1"/>
    <col min="10754" max="10760" width="10.7109375" style="96" customWidth="1"/>
    <col min="10761" max="11008" width="9.140625" style="96"/>
    <col min="11009" max="11009" width="12.7109375" style="96" customWidth="1"/>
    <col min="11010" max="11016" width="10.7109375" style="96" customWidth="1"/>
    <col min="11017" max="11264" width="9.140625" style="96"/>
    <col min="11265" max="11265" width="12.7109375" style="96" customWidth="1"/>
    <col min="11266" max="11272" width="10.7109375" style="96" customWidth="1"/>
    <col min="11273" max="11520" width="9.140625" style="96"/>
    <col min="11521" max="11521" width="12.7109375" style="96" customWidth="1"/>
    <col min="11522" max="11528" width="10.7109375" style="96" customWidth="1"/>
    <col min="11529" max="11776" width="9.140625" style="96"/>
    <col min="11777" max="11777" width="12.7109375" style="96" customWidth="1"/>
    <col min="11778" max="11784" width="10.7109375" style="96" customWidth="1"/>
    <col min="11785" max="12032" width="9.140625" style="96"/>
    <col min="12033" max="12033" width="12.7109375" style="96" customWidth="1"/>
    <col min="12034" max="12040" width="10.7109375" style="96" customWidth="1"/>
    <col min="12041" max="12288" width="9.140625" style="96"/>
    <col min="12289" max="12289" width="12.7109375" style="96" customWidth="1"/>
    <col min="12290" max="12296" width="10.7109375" style="96" customWidth="1"/>
    <col min="12297" max="12544" width="9.140625" style="96"/>
    <col min="12545" max="12545" width="12.7109375" style="96" customWidth="1"/>
    <col min="12546" max="12552" width="10.7109375" style="96" customWidth="1"/>
    <col min="12553" max="12800" width="9.140625" style="96"/>
    <col min="12801" max="12801" width="12.7109375" style="96" customWidth="1"/>
    <col min="12802" max="12808" width="10.7109375" style="96" customWidth="1"/>
    <col min="12809" max="13056" width="9.140625" style="96"/>
    <col min="13057" max="13057" width="12.7109375" style="96" customWidth="1"/>
    <col min="13058" max="13064" width="10.7109375" style="96" customWidth="1"/>
    <col min="13065" max="13312" width="9.140625" style="96"/>
    <col min="13313" max="13313" width="12.7109375" style="96" customWidth="1"/>
    <col min="13314" max="13320" width="10.7109375" style="96" customWidth="1"/>
    <col min="13321" max="13568" width="9.140625" style="96"/>
    <col min="13569" max="13569" width="12.7109375" style="96" customWidth="1"/>
    <col min="13570" max="13576" width="10.7109375" style="96" customWidth="1"/>
    <col min="13577" max="13824" width="9.140625" style="96"/>
    <col min="13825" max="13825" width="12.7109375" style="96" customWidth="1"/>
    <col min="13826" max="13832" width="10.7109375" style="96" customWidth="1"/>
    <col min="13833" max="14080" width="9.140625" style="96"/>
    <col min="14081" max="14081" width="12.7109375" style="96" customWidth="1"/>
    <col min="14082" max="14088" width="10.7109375" style="96" customWidth="1"/>
    <col min="14089" max="14336" width="9.140625" style="96"/>
    <col min="14337" max="14337" width="12.7109375" style="96" customWidth="1"/>
    <col min="14338" max="14344" width="10.7109375" style="96" customWidth="1"/>
    <col min="14345" max="14592" width="9.140625" style="96"/>
    <col min="14593" max="14593" width="12.7109375" style="96" customWidth="1"/>
    <col min="14594" max="14600" width="10.7109375" style="96" customWidth="1"/>
    <col min="14601" max="14848" width="9.140625" style="96"/>
    <col min="14849" max="14849" width="12.7109375" style="96" customWidth="1"/>
    <col min="14850" max="14856" width="10.7109375" style="96" customWidth="1"/>
    <col min="14857" max="15104" width="9.140625" style="96"/>
    <col min="15105" max="15105" width="12.7109375" style="96" customWidth="1"/>
    <col min="15106" max="15112" width="10.7109375" style="96" customWidth="1"/>
    <col min="15113" max="15360" width="9.140625" style="96"/>
    <col min="15361" max="15361" width="12.7109375" style="96" customWidth="1"/>
    <col min="15362" max="15368" width="10.7109375" style="96" customWidth="1"/>
    <col min="15369" max="15616" width="9.140625" style="96"/>
    <col min="15617" max="15617" width="12.7109375" style="96" customWidth="1"/>
    <col min="15618" max="15624" width="10.7109375" style="96" customWidth="1"/>
    <col min="15625" max="15872" width="9.140625" style="96"/>
    <col min="15873" max="15873" width="12.7109375" style="96" customWidth="1"/>
    <col min="15874" max="15880" width="10.7109375" style="96" customWidth="1"/>
    <col min="15881" max="16128" width="9.140625" style="96"/>
    <col min="16129" max="16129" width="12.7109375" style="96" customWidth="1"/>
    <col min="16130" max="16136" width="10.7109375" style="96" customWidth="1"/>
    <col min="16137" max="16384" width="9.140625" style="96"/>
  </cols>
  <sheetData>
    <row r="1" spans="1:12" x14ac:dyDescent="0.2">
      <c r="B1" s="97" t="s">
        <v>438</v>
      </c>
      <c r="C1" s="97"/>
      <c r="D1" s="97"/>
      <c r="E1" s="148" t="str">
        <f>"Increase all prices by "&amp;TEXT(B11-1,"0.0%")</f>
        <v>Increase all prices by 5.0%</v>
      </c>
      <c r="F1" s="149"/>
      <c r="G1" s="150"/>
    </row>
    <row r="2" spans="1:12" x14ac:dyDescent="0.2">
      <c r="A2" s="98" t="s">
        <v>262</v>
      </c>
      <c r="B2" s="99">
        <f>B19</f>
        <v>0.4</v>
      </c>
      <c r="C2" s="99">
        <f>B2+$B20</f>
        <v>0.5</v>
      </c>
      <c r="D2" s="99">
        <f>C2+$B20</f>
        <v>0.6</v>
      </c>
      <c r="E2" s="100" t="s">
        <v>263</v>
      </c>
      <c r="F2" s="100" t="s">
        <v>263</v>
      </c>
      <c r="G2" s="100" t="s">
        <v>263</v>
      </c>
    </row>
    <row r="3" spans="1:12" ht="16.5" customHeight="1" x14ac:dyDescent="0.25">
      <c r="A3" s="101" t="str">
        <f t="shared" ref="A3:A8" si="0">A13</f>
        <v>Sofa</v>
      </c>
      <c r="B3" s="102">
        <f t="shared" ref="B3:D8" si="1">$B13/(1-B$2)</f>
        <v>996.66666666666674</v>
      </c>
      <c r="C3" s="102">
        <f t="shared" si="1"/>
        <v>1196</v>
      </c>
      <c r="D3" s="102">
        <f t="shared" si="1"/>
        <v>1495</v>
      </c>
      <c r="E3" s="151"/>
      <c r="F3" s="151"/>
      <c r="G3" s="151"/>
      <c r="H3"/>
      <c r="I3"/>
      <c r="J3"/>
      <c r="K3"/>
      <c r="L3"/>
    </row>
    <row r="4" spans="1:12" ht="16.5" customHeight="1" x14ac:dyDescent="0.25">
      <c r="A4" s="101" t="str">
        <f t="shared" si="0"/>
        <v>Head Lamp</v>
      </c>
      <c r="B4" s="103">
        <f t="shared" si="1"/>
        <v>141.66666666666669</v>
      </c>
      <c r="C4" s="103">
        <f t="shared" si="1"/>
        <v>170</v>
      </c>
      <c r="D4" s="103">
        <f t="shared" si="1"/>
        <v>212.5</v>
      </c>
      <c r="E4" s="151"/>
      <c r="F4" s="151"/>
      <c r="G4" s="151"/>
      <c r="H4"/>
      <c r="I4"/>
      <c r="J4"/>
      <c r="K4"/>
      <c r="L4"/>
    </row>
    <row r="5" spans="1:12" ht="16.5" customHeight="1" x14ac:dyDescent="0.25">
      <c r="A5" s="101" t="str">
        <f t="shared" si="0"/>
        <v>Table</v>
      </c>
      <c r="B5" s="103">
        <f t="shared" si="1"/>
        <v>253.33333333333334</v>
      </c>
      <c r="C5" s="103">
        <f t="shared" si="1"/>
        <v>304</v>
      </c>
      <c r="D5" s="103">
        <f t="shared" si="1"/>
        <v>380</v>
      </c>
      <c r="E5" s="151"/>
      <c r="F5" s="151"/>
      <c r="G5" s="151"/>
      <c r="H5"/>
      <c r="I5"/>
      <c r="J5"/>
      <c r="K5"/>
      <c r="L5"/>
    </row>
    <row r="6" spans="1:12" ht="16.5" customHeight="1" x14ac:dyDescent="0.25">
      <c r="A6" s="101" t="str">
        <f t="shared" si="0"/>
        <v>Chair</v>
      </c>
      <c r="B6" s="103">
        <f t="shared" si="1"/>
        <v>165</v>
      </c>
      <c r="C6" s="103">
        <f t="shared" si="1"/>
        <v>198</v>
      </c>
      <c r="D6" s="103">
        <f t="shared" si="1"/>
        <v>247.5</v>
      </c>
      <c r="E6" s="151"/>
      <c r="F6" s="151"/>
      <c r="G6" s="151"/>
      <c r="H6"/>
      <c r="I6"/>
      <c r="J6"/>
      <c r="K6"/>
      <c r="L6"/>
    </row>
    <row r="7" spans="1:12" ht="16.5" customHeight="1" x14ac:dyDescent="0.25">
      <c r="A7" s="101" t="str">
        <f t="shared" si="0"/>
        <v>Dining Set</v>
      </c>
      <c r="B7" s="103">
        <f t="shared" si="1"/>
        <v>958.33333333333337</v>
      </c>
      <c r="C7" s="103">
        <f t="shared" si="1"/>
        <v>1150</v>
      </c>
      <c r="D7" s="103">
        <f t="shared" si="1"/>
        <v>1437.5</v>
      </c>
      <c r="E7" s="151"/>
      <c r="F7" s="151"/>
      <c r="G7" s="151"/>
      <c r="H7"/>
      <c r="I7"/>
      <c r="J7"/>
      <c r="K7"/>
      <c r="L7"/>
    </row>
    <row r="8" spans="1:12" ht="16.5" customHeight="1" x14ac:dyDescent="0.25">
      <c r="A8" s="101" t="str">
        <f t="shared" si="0"/>
        <v>Picture</v>
      </c>
      <c r="B8" s="103">
        <f t="shared" si="1"/>
        <v>50</v>
      </c>
      <c r="C8" s="103">
        <f t="shared" si="1"/>
        <v>60</v>
      </c>
      <c r="D8" s="103">
        <f t="shared" si="1"/>
        <v>75</v>
      </c>
      <c r="E8" s="151"/>
      <c r="F8" s="151"/>
      <c r="G8" s="151"/>
      <c r="H8"/>
      <c r="I8"/>
      <c r="J8"/>
      <c r="K8"/>
      <c r="L8"/>
    </row>
    <row r="9" spans="1:12" ht="15" x14ac:dyDescent="0.25">
      <c r="D9"/>
      <c r="E9"/>
      <c r="F9"/>
      <c r="G9"/>
      <c r="H9"/>
      <c r="I9"/>
      <c r="J9"/>
      <c r="K9"/>
      <c r="L9"/>
    </row>
    <row r="10" spans="1:12" ht="15" x14ac:dyDescent="0.25">
      <c r="A10" s="104" t="s">
        <v>264</v>
      </c>
      <c r="B10" s="104"/>
      <c r="C10" s="105"/>
      <c r="D10"/>
      <c r="E10" t="s">
        <v>450</v>
      </c>
      <c r="F10"/>
      <c r="G10"/>
    </row>
    <row r="11" spans="1:12" ht="15" x14ac:dyDescent="0.25">
      <c r="A11" s="101" t="s">
        <v>265</v>
      </c>
      <c r="B11" s="3">
        <v>1.05</v>
      </c>
      <c r="E11"/>
      <c r="F11"/>
      <c r="G11"/>
    </row>
    <row r="12" spans="1:12" ht="15" x14ac:dyDescent="0.25">
      <c r="A12" s="146" t="s">
        <v>445</v>
      </c>
      <c r="B12" s="146"/>
      <c r="D12"/>
      <c r="E12" s="205" t="s">
        <v>652</v>
      </c>
      <c r="F12"/>
      <c r="G12"/>
    </row>
    <row r="13" spans="1:12" ht="15" x14ac:dyDescent="0.25">
      <c r="A13" s="145" t="s">
        <v>266</v>
      </c>
      <c r="B13" s="147">
        <v>598</v>
      </c>
      <c r="D13"/>
      <c r="E13" s="205" t="s">
        <v>653</v>
      </c>
      <c r="F13"/>
      <c r="G13"/>
    </row>
    <row r="14" spans="1:12" ht="15" x14ac:dyDescent="0.25">
      <c r="A14" s="145" t="s">
        <v>267</v>
      </c>
      <c r="B14" s="147">
        <v>85</v>
      </c>
      <c r="D14"/>
      <c r="E14" s="205"/>
      <c r="F14"/>
      <c r="G14"/>
    </row>
    <row r="15" spans="1:12" ht="15" x14ac:dyDescent="0.25">
      <c r="A15" s="145" t="s">
        <v>268</v>
      </c>
      <c r="B15" s="147">
        <v>152</v>
      </c>
      <c r="D15"/>
      <c r="E15" s="205" t="s">
        <v>654</v>
      </c>
      <c r="F15"/>
      <c r="G15"/>
    </row>
    <row r="16" spans="1:12" ht="15" x14ac:dyDescent="0.25">
      <c r="A16" s="145" t="s">
        <v>269</v>
      </c>
      <c r="B16" s="147">
        <v>99</v>
      </c>
      <c r="D16"/>
      <c r="E16"/>
      <c r="F16"/>
      <c r="G16"/>
    </row>
    <row r="17" spans="1:14" ht="15" x14ac:dyDescent="0.25">
      <c r="A17" s="145" t="s">
        <v>270</v>
      </c>
      <c r="B17" s="147">
        <v>575</v>
      </c>
      <c r="D17"/>
      <c r="E17"/>
      <c r="F17"/>
      <c r="G17"/>
    </row>
    <row r="18" spans="1:14" ht="15" x14ac:dyDescent="0.25">
      <c r="A18" s="145" t="s">
        <v>271</v>
      </c>
      <c r="B18" s="147">
        <v>30</v>
      </c>
      <c r="C18" s="107"/>
      <c r="D18"/>
      <c r="E18"/>
      <c r="F18"/>
      <c r="G18"/>
      <c r="H18" s="144" t="s">
        <v>439</v>
      </c>
      <c r="I18" s="147">
        <f>B8</f>
        <v>50</v>
      </c>
      <c r="J18"/>
      <c r="K18"/>
      <c r="L18"/>
    </row>
    <row r="19" spans="1:14" ht="51.75" x14ac:dyDescent="0.25">
      <c r="A19" s="106" t="str">
        <f>B1&amp;" Starting Point"</f>
        <v>Retail Selling Price by Profit Margin Starting Point</v>
      </c>
      <c r="B19" s="108">
        <v>0.4</v>
      </c>
      <c r="H19" s="3" t="s">
        <v>440</v>
      </c>
      <c r="I19" s="147">
        <f>B18</f>
        <v>30</v>
      </c>
      <c r="J19"/>
      <c r="K19"/>
      <c r="L19"/>
    </row>
    <row r="20" spans="1:14" ht="15" x14ac:dyDescent="0.25">
      <c r="A20" s="101" t="s">
        <v>272</v>
      </c>
      <c r="B20" s="108">
        <v>0.1</v>
      </c>
      <c r="H20" s="3" t="s">
        <v>441</v>
      </c>
      <c r="I20" s="79">
        <f>I18-I19</f>
        <v>20</v>
      </c>
      <c r="J20"/>
      <c r="K20"/>
      <c r="L20"/>
    </row>
    <row r="21" spans="1:14" ht="15" x14ac:dyDescent="0.25">
      <c r="H21" s="3" t="s">
        <v>442</v>
      </c>
      <c r="I21" s="64">
        <f>I20/I18</f>
        <v>0.4</v>
      </c>
      <c r="J21"/>
      <c r="K21"/>
      <c r="L21"/>
    </row>
    <row r="22" spans="1:14" ht="15" x14ac:dyDescent="0.25">
      <c r="H22" s="3" t="s">
        <v>442</v>
      </c>
      <c r="I22" s="64">
        <f>(I18-I19)/I18</f>
        <v>0.4</v>
      </c>
    </row>
    <row r="24" spans="1:14" ht="15" x14ac:dyDescent="0.25">
      <c r="H24" s="3" t="s">
        <v>443</v>
      </c>
      <c r="I24" s="147">
        <f>B18</f>
        <v>30</v>
      </c>
      <c r="K24" s="96" t="str">
        <f>B8&amp;" - "&amp;B18&amp;" = "&amp;B8-B18</f>
        <v>50 - 30 = 20</v>
      </c>
      <c r="N24" s="96" t="s">
        <v>446</v>
      </c>
    </row>
    <row r="25" spans="1:14" ht="15" x14ac:dyDescent="0.25">
      <c r="H25" s="3" t="s">
        <v>444</v>
      </c>
      <c r="I25" s="79">
        <f>I24/(1-B2)</f>
        <v>50</v>
      </c>
      <c r="K25" s="96" t="str">
        <f>B8&amp;" - "&amp;B8&amp;" * "&amp;B2&amp;" = "&amp;B8-B18</f>
        <v>50 - 50 * 0.4 = 20</v>
      </c>
      <c r="N25" s="96" t="s">
        <v>447</v>
      </c>
    </row>
    <row r="26" spans="1:14" ht="15" x14ac:dyDescent="0.25">
      <c r="H26"/>
      <c r="K26" s="96" t="str">
        <f>B8&amp;" * (1 - "&amp;B2&amp;") = "&amp;B8-B18</f>
        <v>50 * (1 - 0.4) = 20</v>
      </c>
      <c r="N26" s="96" t="s">
        <v>448</v>
      </c>
    </row>
    <row r="27" spans="1:14" x14ac:dyDescent="0.2">
      <c r="K27" s="96" t="str">
        <f>B8&amp;" = "&amp;B8-B18&amp;"/(1 - "&amp;B2&amp;")"</f>
        <v>50 = 20/(1 - 0.4)</v>
      </c>
      <c r="N27" s="96" t="s">
        <v>449</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7"/>
  <sheetViews>
    <sheetView zoomScale="130" zoomScaleNormal="130" workbookViewId="0">
      <selection activeCell="C21" sqref="C21"/>
    </sheetView>
  </sheetViews>
  <sheetFormatPr defaultRowHeight="12.75" x14ac:dyDescent="0.2"/>
  <cols>
    <col min="1" max="1" width="15.5703125" style="96" customWidth="1"/>
    <col min="2" max="4" width="10.5703125" style="96" customWidth="1"/>
    <col min="5" max="7" width="9.7109375" style="96" customWidth="1"/>
    <col min="8" max="8" width="24.7109375" style="96" customWidth="1"/>
    <col min="9" max="9" width="9.140625" style="96"/>
    <col min="10" max="10" width="1.5703125" style="96" customWidth="1"/>
    <col min="11" max="12" width="9.140625" style="96"/>
    <col min="13" max="13" width="18" style="96" customWidth="1"/>
    <col min="14" max="256" width="9.140625" style="96"/>
    <col min="257" max="257" width="12.7109375" style="96" customWidth="1"/>
    <col min="258" max="264" width="10.7109375" style="96" customWidth="1"/>
    <col min="265" max="512" width="9.140625" style="96"/>
    <col min="513" max="513" width="12.7109375" style="96" customWidth="1"/>
    <col min="514" max="520" width="10.7109375" style="96" customWidth="1"/>
    <col min="521" max="768" width="9.140625" style="96"/>
    <col min="769" max="769" width="12.7109375" style="96" customWidth="1"/>
    <col min="770" max="776" width="10.7109375" style="96" customWidth="1"/>
    <col min="777" max="1024" width="9.140625" style="96"/>
    <col min="1025" max="1025" width="12.7109375" style="96" customWidth="1"/>
    <col min="1026" max="1032" width="10.7109375" style="96" customWidth="1"/>
    <col min="1033" max="1280" width="9.140625" style="96"/>
    <col min="1281" max="1281" width="12.7109375" style="96" customWidth="1"/>
    <col min="1282" max="1288" width="10.7109375" style="96" customWidth="1"/>
    <col min="1289" max="1536" width="9.140625" style="96"/>
    <col min="1537" max="1537" width="12.7109375" style="96" customWidth="1"/>
    <col min="1538" max="1544" width="10.7109375" style="96" customWidth="1"/>
    <col min="1545" max="1792" width="9.140625" style="96"/>
    <col min="1793" max="1793" width="12.7109375" style="96" customWidth="1"/>
    <col min="1794" max="1800" width="10.7109375" style="96" customWidth="1"/>
    <col min="1801" max="2048" width="9.140625" style="96"/>
    <col min="2049" max="2049" width="12.7109375" style="96" customWidth="1"/>
    <col min="2050" max="2056" width="10.7109375" style="96" customWidth="1"/>
    <col min="2057" max="2304" width="9.140625" style="96"/>
    <col min="2305" max="2305" width="12.7109375" style="96" customWidth="1"/>
    <col min="2306" max="2312" width="10.7109375" style="96" customWidth="1"/>
    <col min="2313" max="2560" width="9.140625" style="96"/>
    <col min="2561" max="2561" width="12.7109375" style="96" customWidth="1"/>
    <col min="2562" max="2568" width="10.7109375" style="96" customWidth="1"/>
    <col min="2569" max="2816" width="9.140625" style="96"/>
    <col min="2817" max="2817" width="12.7109375" style="96" customWidth="1"/>
    <col min="2818" max="2824" width="10.7109375" style="96" customWidth="1"/>
    <col min="2825" max="3072" width="9.140625" style="96"/>
    <col min="3073" max="3073" width="12.7109375" style="96" customWidth="1"/>
    <col min="3074" max="3080" width="10.7109375" style="96" customWidth="1"/>
    <col min="3081" max="3328" width="9.140625" style="96"/>
    <col min="3329" max="3329" width="12.7109375" style="96" customWidth="1"/>
    <col min="3330" max="3336" width="10.7109375" style="96" customWidth="1"/>
    <col min="3337" max="3584" width="9.140625" style="96"/>
    <col min="3585" max="3585" width="12.7109375" style="96" customWidth="1"/>
    <col min="3586" max="3592" width="10.7109375" style="96" customWidth="1"/>
    <col min="3593" max="3840" width="9.140625" style="96"/>
    <col min="3841" max="3841" width="12.7109375" style="96" customWidth="1"/>
    <col min="3842" max="3848" width="10.7109375" style="96" customWidth="1"/>
    <col min="3849" max="4096" width="9.140625" style="96"/>
    <col min="4097" max="4097" width="12.7109375" style="96" customWidth="1"/>
    <col min="4098" max="4104" width="10.7109375" style="96" customWidth="1"/>
    <col min="4105" max="4352" width="9.140625" style="96"/>
    <col min="4353" max="4353" width="12.7109375" style="96" customWidth="1"/>
    <col min="4354" max="4360" width="10.7109375" style="96" customWidth="1"/>
    <col min="4361" max="4608" width="9.140625" style="96"/>
    <col min="4609" max="4609" width="12.7109375" style="96" customWidth="1"/>
    <col min="4610" max="4616" width="10.7109375" style="96" customWidth="1"/>
    <col min="4617" max="4864" width="9.140625" style="96"/>
    <col min="4865" max="4865" width="12.7109375" style="96" customWidth="1"/>
    <col min="4866" max="4872" width="10.7109375" style="96" customWidth="1"/>
    <col min="4873" max="5120" width="9.140625" style="96"/>
    <col min="5121" max="5121" width="12.7109375" style="96" customWidth="1"/>
    <col min="5122" max="5128" width="10.7109375" style="96" customWidth="1"/>
    <col min="5129" max="5376" width="9.140625" style="96"/>
    <col min="5377" max="5377" width="12.7109375" style="96" customWidth="1"/>
    <col min="5378" max="5384" width="10.7109375" style="96" customWidth="1"/>
    <col min="5385" max="5632" width="9.140625" style="96"/>
    <col min="5633" max="5633" width="12.7109375" style="96" customWidth="1"/>
    <col min="5634" max="5640" width="10.7109375" style="96" customWidth="1"/>
    <col min="5641" max="5888" width="9.140625" style="96"/>
    <col min="5889" max="5889" width="12.7109375" style="96" customWidth="1"/>
    <col min="5890" max="5896" width="10.7109375" style="96" customWidth="1"/>
    <col min="5897" max="6144" width="9.140625" style="96"/>
    <col min="6145" max="6145" width="12.7109375" style="96" customWidth="1"/>
    <col min="6146" max="6152" width="10.7109375" style="96" customWidth="1"/>
    <col min="6153" max="6400" width="9.140625" style="96"/>
    <col min="6401" max="6401" width="12.7109375" style="96" customWidth="1"/>
    <col min="6402" max="6408" width="10.7109375" style="96" customWidth="1"/>
    <col min="6409" max="6656" width="9.140625" style="96"/>
    <col min="6657" max="6657" width="12.7109375" style="96" customWidth="1"/>
    <col min="6658" max="6664" width="10.7109375" style="96" customWidth="1"/>
    <col min="6665" max="6912" width="9.140625" style="96"/>
    <col min="6913" max="6913" width="12.7109375" style="96" customWidth="1"/>
    <col min="6914" max="6920" width="10.7109375" style="96" customWidth="1"/>
    <col min="6921" max="7168" width="9.140625" style="96"/>
    <col min="7169" max="7169" width="12.7109375" style="96" customWidth="1"/>
    <col min="7170" max="7176" width="10.7109375" style="96" customWidth="1"/>
    <col min="7177" max="7424" width="9.140625" style="96"/>
    <col min="7425" max="7425" width="12.7109375" style="96" customWidth="1"/>
    <col min="7426" max="7432" width="10.7109375" style="96" customWidth="1"/>
    <col min="7433" max="7680" width="9.140625" style="96"/>
    <col min="7681" max="7681" width="12.7109375" style="96" customWidth="1"/>
    <col min="7682" max="7688" width="10.7109375" style="96" customWidth="1"/>
    <col min="7689" max="7936" width="9.140625" style="96"/>
    <col min="7937" max="7937" width="12.7109375" style="96" customWidth="1"/>
    <col min="7938" max="7944" width="10.7109375" style="96" customWidth="1"/>
    <col min="7945" max="8192" width="9.140625" style="96"/>
    <col min="8193" max="8193" width="12.7109375" style="96" customWidth="1"/>
    <col min="8194" max="8200" width="10.7109375" style="96" customWidth="1"/>
    <col min="8201" max="8448" width="9.140625" style="96"/>
    <col min="8449" max="8449" width="12.7109375" style="96" customWidth="1"/>
    <col min="8450" max="8456" width="10.7109375" style="96" customWidth="1"/>
    <col min="8457" max="8704" width="9.140625" style="96"/>
    <col min="8705" max="8705" width="12.7109375" style="96" customWidth="1"/>
    <col min="8706" max="8712" width="10.7109375" style="96" customWidth="1"/>
    <col min="8713" max="8960" width="9.140625" style="96"/>
    <col min="8961" max="8961" width="12.7109375" style="96" customWidth="1"/>
    <col min="8962" max="8968" width="10.7109375" style="96" customWidth="1"/>
    <col min="8969" max="9216" width="9.140625" style="96"/>
    <col min="9217" max="9217" width="12.7109375" style="96" customWidth="1"/>
    <col min="9218" max="9224" width="10.7109375" style="96" customWidth="1"/>
    <col min="9225" max="9472" width="9.140625" style="96"/>
    <col min="9473" max="9473" width="12.7109375" style="96" customWidth="1"/>
    <col min="9474" max="9480" width="10.7109375" style="96" customWidth="1"/>
    <col min="9481" max="9728" width="9.140625" style="96"/>
    <col min="9729" max="9729" width="12.7109375" style="96" customWidth="1"/>
    <col min="9730" max="9736" width="10.7109375" style="96" customWidth="1"/>
    <col min="9737" max="9984" width="9.140625" style="96"/>
    <col min="9985" max="9985" width="12.7109375" style="96" customWidth="1"/>
    <col min="9986" max="9992" width="10.7109375" style="96" customWidth="1"/>
    <col min="9993" max="10240" width="9.140625" style="96"/>
    <col min="10241" max="10241" width="12.7109375" style="96" customWidth="1"/>
    <col min="10242" max="10248" width="10.7109375" style="96" customWidth="1"/>
    <col min="10249" max="10496" width="9.140625" style="96"/>
    <col min="10497" max="10497" width="12.7109375" style="96" customWidth="1"/>
    <col min="10498" max="10504" width="10.7109375" style="96" customWidth="1"/>
    <col min="10505" max="10752" width="9.140625" style="96"/>
    <col min="10753" max="10753" width="12.7109375" style="96" customWidth="1"/>
    <col min="10754" max="10760" width="10.7109375" style="96" customWidth="1"/>
    <col min="10761" max="11008" width="9.140625" style="96"/>
    <col min="11009" max="11009" width="12.7109375" style="96" customWidth="1"/>
    <col min="11010" max="11016" width="10.7109375" style="96" customWidth="1"/>
    <col min="11017" max="11264" width="9.140625" style="96"/>
    <col min="11265" max="11265" width="12.7109375" style="96" customWidth="1"/>
    <col min="11266" max="11272" width="10.7109375" style="96" customWidth="1"/>
    <col min="11273" max="11520" width="9.140625" style="96"/>
    <col min="11521" max="11521" width="12.7109375" style="96" customWidth="1"/>
    <col min="11522" max="11528" width="10.7109375" style="96" customWidth="1"/>
    <col min="11529" max="11776" width="9.140625" style="96"/>
    <col min="11777" max="11777" width="12.7109375" style="96" customWidth="1"/>
    <col min="11778" max="11784" width="10.7109375" style="96" customWidth="1"/>
    <col min="11785" max="12032" width="9.140625" style="96"/>
    <col min="12033" max="12033" width="12.7109375" style="96" customWidth="1"/>
    <col min="12034" max="12040" width="10.7109375" style="96" customWidth="1"/>
    <col min="12041" max="12288" width="9.140625" style="96"/>
    <col min="12289" max="12289" width="12.7109375" style="96" customWidth="1"/>
    <col min="12290" max="12296" width="10.7109375" style="96" customWidth="1"/>
    <col min="12297" max="12544" width="9.140625" style="96"/>
    <col min="12545" max="12545" width="12.7109375" style="96" customWidth="1"/>
    <col min="12546" max="12552" width="10.7109375" style="96" customWidth="1"/>
    <col min="12553" max="12800" width="9.140625" style="96"/>
    <col min="12801" max="12801" width="12.7109375" style="96" customWidth="1"/>
    <col min="12802" max="12808" width="10.7109375" style="96" customWidth="1"/>
    <col min="12809" max="13056" width="9.140625" style="96"/>
    <col min="13057" max="13057" width="12.7109375" style="96" customWidth="1"/>
    <col min="13058" max="13064" width="10.7109375" style="96" customWidth="1"/>
    <col min="13065" max="13312" width="9.140625" style="96"/>
    <col min="13313" max="13313" width="12.7109375" style="96" customWidth="1"/>
    <col min="13314" max="13320" width="10.7109375" style="96" customWidth="1"/>
    <col min="13321" max="13568" width="9.140625" style="96"/>
    <col min="13569" max="13569" width="12.7109375" style="96" customWidth="1"/>
    <col min="13570" max="13576" width="10.7109375" style="96" customWidth="1"/>
    <col min="13577" max="13824" width="9.140625" style="96"/>
    <col min="13825" max="13825" width="12.7109375" style="96" customWidth="1"/>
    <col min="13826" max="13832" width="10.7109375" style="96" customWidth="1"/>
    <col min="13833" max="14080" width="9.140625" style="96"/>
    <col min="14081" max="14081" width="12.7109375" style="96" customWidth="1"/>
    <col min="14082" max="14088" width="10.7109375" style="96" customWidth="1"/>
    <col min="14089" max="14336" width="9.140625" style="96"/>
    <col min="14337" max="14337" width="12.7109375" style="96" customWidth="1"/>
    <col min="14338" max="14344" width="10.7109375" style="96" customWidth="1"/>
    <col min="14345" max="14592" width="9.140625" style="96"/>
    <col min="14593" max="14593" width="12.7109375" style="96" customWidth="1"/>
    <col min="14594" max="14600" width="10.7109375" style="96" customWidth="1"/>
    <col min="14601" max="14848" width="9.140625" style="96"/>
    <col min="14849" max="14849" width="12.7109375" style="96" customWidth="1"/>
    <col min="14850" max="14856" width="10.7109375" style="96" customWidth="1"/>
    <col min="14857" max="15104" width="9.140625" style="96"/>
    <col min="15105" max="15105" width="12.7109375" style="96" customWidth="1"/>
    <col min="15106" max="15112" width="10.7109375" style="96" customWidth="1"/>
    <col min="15113" max="15360" width="9.140625" style="96"/>
    <col min="15361" max="15361" width="12.7109375" style="96" customWidth="1"/>
    <col min="15362" max="15368" width="10.7109375" style="96" customWidth="1"/>
    <col min="15369" max="15616" width="9.140625" style="96"/>
    <col min="15617" max="15617" width="12.7109375" style="96" customWidth="1"/>
    <col min="15618" max="15624" width="10.7109375" style="96" customWidth="1"/>
    <col min="15625" max="15872" width="9.140625" style="96"/>
    <col min="15873" max="15873" width="12.7109375" style="96" customWidth="1"/>
    <col min="15874" max="15880" width="10.7109375" style="96" customWidth="1"/>
    <col min="15881" max="16128" width="9.140625" style="96"/>
    <col min="16129" max="16129" width="12.7109375" style="96" customWidth="1"/>
    <col min="16130" max="16136" width="10.7109375" style="96" customWidth="1"/>
    <col min="16137" max="16384" width="9.140625" style="96"/>
  </cols>
  <sheetData>
    <row r="1" spans="1:12" x14ac:dyDescent="0.2">
      <c r="B1" s="97" t="s">
        <v>438</v>
      </c>
      <c r="C1" s="97"/>
      <c r="D1" s="97"/>
      <c r="E1" s="148" t="str">
        <f>"Increase all prices by "&amp;TEXT(B11-1,"0.0%")</f>
        <v>Increase all prices by 5.0%</v>
      </c>
      <c r="F1" s="149"/>
      <c r="G1" s="150"/>
    </row>
    <row r="2" spans="1:12" x14ac:dyDescent="0.2">
      <c r="A2" s="98" t="s">
        <v>262</v>
      </c>
      <c r="B2" s="99">
        <f>B19</f>
        <v>0.4</v>
      </c>
      <c r="C2" s="99">
        <f>B2+$B20</f>
        <v>0.5</v>
      </c>
      <c r="D2" s="99">
        <f>C2+$B20</f>
        <v>0.6</v>
      </c>
      <c r="E2" s="100" t="s">
        <v>263</v>
      </c>
      <c r="F2" s="100" t="s">
        <v>263</v>
      </c>
      <c r="G2" s="100" t="s">
        <v>263</v>
      </c>
    </row>
    <row r="3" spans="1:12" ht="16.5" customHeight="1" x14ac:dyDescent="0.25">
      <c r="A3" s="101" t="str">
        <f t="shared" ref="A3:A8" si="0">A13</f>
        <v>Sofa</v>
      </c>
      <c r="B3" s="102">
        <f t="shared" ref="B3:D8" si="1">$B13/(1-B$2)</f>
        <v>996.66666666666674</v>
      </c>
      <c r="C3" s="102">
        <f t="shared" si="1"/>
        <v>1196</v>
      </c>
      <c r="D3" s="102">
        <f t="shared" si="1"/>
        <v>1495</v>
      </c>
      <c r="E3" s="151">
        <f t="shared" ref="E3:G8" si="2">B3*$B$11</f>
        <v>1046.5000000000002</v>
      </c>
      <c r="F3" s="151">
        <f t="shared" si="2"/>
        <v>1255.8</v>
      </c>
      <c r="G3" s="151">
        <f t="shared" si="2"/>
        <v>1569.75</v>
      </c>
      <c r="H3"/>
      <c r="I3"/>
      <c r="J3"/>
      <c r="K3"/>
      <c r="L3"/>
    </row>
    <row r="4" spans="1:12" ht="16.5" customHeight="1" x14ac:dyDescent="0.25">
      <c r="A4" s="101" t="str">
        <f t="shared" si="0"/>
        <v>Head Lamp</v>
      </c>
      <c r="B4" s="103">
        <f t="shared" si="1"/>
        <v>141.66666666666669</v>
      </c>
      <c r="C4" s="103">
        <f t="shared" si="1"/>
        <v>170</v>
      </c>
      <c r="D4" s="103">
        <f t="shared" si="1"/>
        <v>212.5</v>
      </c>
      <c r="E4" s="151">
        <f t="shared" si="2"/>
        <v>148.75000000000003</v>
      </c>
      <c r="F4" s="151">
        <f t="shared" si="2"/>
        <v>178.5</v>
      </c>
      <c r="G4" s="151">
        <f t="shared" si="2"/>
        <v>223.125</v>
      </c>
      <c r="H4"/>
      <c r="I4"/>
      <c r="J4"/>
      <c r="K4"/>
      <c r="L4"/>
    </row>
    <row r="5" spans="1:12" ht="16.5" customHeight="1" x14ac:dyDescent="0.25">
      <c r="A5" s="101" t="str">
        <f t="shared" si="0"/>
        <v>Table</v>
      </c>
      <c r="B5" s="103">
        <f t="shared" si="1"/>
        <v>253.33333333333334</v>
      </c>
      <c r="C5" s="103">
        <f t="shared" si="1"/>
        <v>304</v>
      </c>
      <c r="D5" s="103">
        <f t="shared" si="1"/>
        <v>380</v>
      </c>
      <c r="E5" s="151">
        <f t="shared" si="2"/>
        <v>266</v>
      </c>
      <c r="F5" s="151">
        <f t="shared" si="2"/>
        <v>319.2</v>
      </c>
      <c r="G5" s="151">
        <f t="shared" si="2"/>
        <v>399</v>
      </c>
      <c r="H5"/>
      <c r="I5"/>
      <c r="J5"/>
      <c r="K5"/>
      <c r="L5"/>
    </row>
    <row r="6" spans="1:12" ht="16.5" customHeight="1" x14ac:dyDescent="0.25">
      <c r="A6" s="101" t="str">
        <f t="shared" si="0"/>
        <v>Chair</v>
      </c>
      <c r="B6" s="103">
        <f t="shared" si="1"/>
        <v>165</v>
      </c>
      <c r="C6" s="103">
        <f t="shared" si="1"/>
        <v>198</v>
      </c>
      <c r="D6" s="103">
        <f t="shared" si="1"/>
        <v>247.5</v>
      </c>
      <c r="E6" s="151">
        <f t="shared" si="2"/>
        <v>173.25</v>
      </c>
      <c r="F6" s="151">
        <f t="shared" si="2"/>
        <v>207.9</v>
      </c>
      <c r="G6" s="151">
        <f t="shared" si="2"/>
        <v>259.875</v>
      </c>
      <c r="H6"/>
      <c r="I6"/>
      <c r="J6"/>
      <c r="K6"/>
      <c r="L6"/>
    </row>
    <row r="7" spans="1:12" ht="16.5" customHeight="1" x14ac:dyDescent="0.25">
      <c r="A7" s="101" t="str">
        <f t="shared" si="0"/>
        <v>Dining Set</v>
      </c>
      <c r="B7" s="103">
        <f t="shared" si="1"/>
        <v>958.33333333333337</v>
      </c>
      <c r="C7" s="103">
        <f t="shared" si="1"/>
        <v>1150</v>
      </c>
      <c r="D7" s="103">
        <f t="shared" si="1"/>
        <v>1437.5</v>
      </c>
      <c r="E7" s="151">
        <f t="shared" si="2"/>
        <v>1006.2500000000001</v>
      </c>
      <c r="F7" s="151">
        <f t="shared" si="2"/>
        <v>1207.5</v>
      </c>
      <c r="G7" s="151">
        <f t="shared" si="2"/>
        <v>1509.375</v>
      </c>
      <c r="H7"/>
      <c r="I7"/>
      <c r="J7"/>
      <c r="K7"/>
      <c r="L7"/>
    </row>
    <row r="8" spans="1:12" ht="16.5" customHeight="1" x14ac:dyDescent="0.25">
      <c r="A8" s="101" t="str">
        <f t="shared" si="0"/>
        <v>Picture</v>
      </c>
      <c r="B8" s="103">
        <f t="shared" si="1"/>
        <v>50</v>
      </c>
      <c r="C8" s="103">
        <f t="shared" si="1"/>
        <v>60</v>
      </c>
      <c r="D8" s="103">
        <f t="shared" si="1"/>
        <v>75</v>
      </c>
      <c r="E8" s="151">
        <f t="shared" si="2"/>
        <v>52.5</v>
      </c>
      <c r="F8" s="151">
        <f t="shared" si="2"/>
        <v>63</v>
      </c>
      <c r="G8" s="151">
        <f t="shared" si="2"/>
        <v>78.75</v>
      </c>
      <c r="H8"/>
      <c r="I8"/>
      <c r="J8"/>
      <c r="K8"/>
      <c r="L8"/>
    </row>
    <row r="9" spans="1:12" ht="15" x14ac:dyDescent="0.25">
      <c r="D9"/>
      <c r="E9"/>
      <c r="F9"/>
      <c r="G9"/>
      <c r="H9"/>
      <c r="I9"/>
      <c r="J9"/>
      <c r="K9"/>
      <c r="L9"/>
    </row>
    <row r="10" spans="1:12" ht="15" x14ac:dyDescent="0.25">
      <c r="A10" s="104" t="s">
        <v>264</v>
      </c>
      <c r="B10" s="104"/>
      <c r="C10" s="105"/>
      <c r="D10"/>
      <c r="E10" t="s">
        <v>450</v>
      </c>
      <c r="F10"/>
      <c r="G10"/>
    </row>
    <row r="11" spans="1:12" ht="15" x14ac:dyDescent="0.25">
      <c r="A11" s="101" t="s">
        <v>265</v>
      </c>
      <c r="B11" s="3">
        <v>1.05</v>
      </c>
      <c r="E11"/>
      <c r="F11"/>
      <c r="G11"/>
    </row>
    <row r="12" spans="1:12" ht="15" x14ac:dyDescent="0.25">
      <c r="A12" s="146" t="s">
        <v>445</v>
      </c>
      <c r="B12" s="146"/>
      <c r="D12"/>
      <c r="E12" t="s">
        <v>652</v>
      </c>
      <c r="F12"/>
      <c r="G12"/>
    </row>
    <row r="13" spans="1:12" ht="15" x14ac:dyDescent="0.25">
      <c r="A13" s="145" t="s">
        <v>266</v>
      </c>
      <c r="B13" s="147">
        <v>598</v>
      </c>
      <c r="D13"/>
      <c r="E13" t="s">
        <v>653</v>
      </c>
      <c r="F13"/>
      <c r="G13"/>
    </row>
    <row r="14" spans="1:12" ht="15" x14ac:dyDescent="0.25">
      <c r="A14" s="145" t="s">
        <v>267</v>
      </c>
      <c r="B14" s="147">
        <v>85</v>
      </c>
      <c r="D14"/>
      <c r="E14"/>
      <c r="F14"/>
      <c r="G14"/>
    </row>
    <row r="15" spans="1:12" ht="15" x14ac:dyDescent="0.25">
      <c r="A15" s="145" t="s">
        <v>268</v>
      </c>
      <c r="B15" s="147">
        <v>152</v>
      </c>
      <c r="D15"/>
      <c r="E15" t="s">
        <v>654</v>
      </c>
      <c r="F15"/>
      <c r="G15"/>
    </row>
    <row r="16" spans="1:12" ht="15" x14ac:dyDescent="0.25">
      <c r="A16" s="145" t="s">
        <v>269</v>
      </c>
      <c r="B16" s="147">
        <v>99</v>
      </c>
      <c r="D16"/>
      <c r="E16"/>
      <c r="F16"/>
      <c r="G16"/>
    </row>
    <row r="17" spans="1:14" ht="15" x14ac:dyDescent="0.25">
      <c r="A17" s="145" t="s">
        <v>270</v>
      </c>
      <c r="B17" s="147">
        <v>575</v>
      </c>
      <c r="D17"/>
      <c r="E17"/>
      <c r="F17"/>
      <c r="G17"/>
    </row>
    <row r="18" spans="1:14" ht="15" x14ac:dyDescent="0.25">
      <c r="A18" s="145" t="s">
        <v>271</v>
      </c>
      <c r="B18" s="147">
        <v>30</v>
      </c>
      <c r="C18" s="107"/>
      <c r="D18"/>
      <c r="E18"/>
      <c r="F18"/>
      <c r="G18"/>
      <c r="H18" s="144" t="s">
        <v>439</v>
      </c>
      <c r="I18" s="147">
        <f>B8</f>
        <v>50</v>
      </c>
      <c r="J18"/>
      <c r="K18"/>
      <c r="L18"/>
    </row>
    <row r="19" spans="1:14" ht="51.75" x14ac:dyDescent="0.25">
      <c r="A19" s="106" t="str">
        <f>B1&amp;" Starting Point"</f>
        <v>Retail Selling Price by Profit Margin Starting Point</v>
      </c>
      <c r="B19" s="108">
        <v>0.4</v>
      </c>
      <c r="H19" s="3" t="s">
        <v>440</v>
      </c>
      <c r="I19" s="147">
        <f>B18</f>
        <v>30</v>
      </c>
      <c r="J19"/>
      <c r="K19"/>
      <c r="L19"/>
    </row>
    <row r="20" spans="1:14" ht="15" x14ac:dyDescent="0.25">
      <c r="A20" s="101" t="s">
        <v>272</v>
      </c>
      <c r="B20" s="108">
        <v>0.1</v>
      </c>
      <c r="H20" s="3" t="s">
        <v>441</v>
      </c>
      <c r="I20" s="79">
        <f>I18-I19</f>
        <v>20</v>
      </c>
      <c r="J20"/>
      <c r="K20"/>
      <c r="L20"/>
    </row>
    <row r="21" spans="1:14" ht="15" x14ac:dyDescent="0.25">
      <c r="H21" s="3" t="s">
        <v>442</v>
      </c>
      <c r="I21" s="64">
        <f>I20/I18</f>
        <v>0.4</v>
      </c>
      <c r="J21"/>
      <c r="K21"/>
      <c r="L21"/>
    </row>
    <row r="22" spans="1:14" ht="15" x14ac:dyDescent="0.25">
      <c r="H22" s="3" t="s">
        <v>442</v>
      </c>
      <c r="I22" s="64">
        <f>(I18-I19)/I18</f>
        <v>0.4</v>
      </c>
    </row>
    <row r="24" spans="1:14" ht="15" x14ac:dyDescent="0.25">
      <c r="H24" s="3" t="s">
        <v>443</v>
      </c>
      <c r="I24" s="147">
        <f>B18</f>
        <v>30</v>
      </c>
      <c r="K24" s="96" t="str">
        <f>B8&amp;" - "&amp;B18&amp;" = "&amp;B8-B18</f>
        <v>50 - 30 = 20</v>
      </c>
      <c r="N24" s="96" t="s">
        <v>446</v>
      </c>
    </row>
    <row r="25" spans="1:14" ht="15" x14ac:dyDescent="0.25">
      <c r="H25" s="3" t="s">
        <v>444</v>
      </c>
      <c r="I25" s="79">
        <f>I24/(1-B2)</f>
        <v>50</v>
      </c>
      <c r="K25" s="96" t="str">
        <f>B8&amp;" - "&amp;B8&amp;" * "&amp;B2&amp;" = "&amp;B8-B18</f>
        <v>50 - 50 * 0.4 = 20</v>
      </c>
      <c r="N25" s="96" t="s">
        <v>447</v>
      </c>
    </row>
    <row r="26" spans="1:14" ht="15" x14ac:dyDescent="0.25">
      <c r="H26"/>
      <c r="K26" s="96" t="str">
        <f>B8&amp;" * (1 - "&amp;B2&amp;") = "&amp;B8-B18</f>
        <v>50 * (1 - 0.4) = 20</v>
      </c>
      <c r="N26" s="96" t="s">
        <v>448</v>
      </c>
    </row>
    <row r="27" spans="1:14" x14ac:dyDescent="0.2">
      <c r="K27" s="96" t="str">
        <f>B8&amp;" = "&amp;B8-B18&amp;"/(1 - "&amp;B2&amp;")"</f>
        <v>50 = 20/(1 - 0.4)</v>
      </c>
      <c r="N27" s="96" t="s">
        <v>449</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52"/>
  <sheetViews>
    <sheetView zoomScale="145" zoomScaleNormal="145" workbookViewId="0">
      <selection activeCell="C21" sqref="C21"/>
    </sheetView>
  </sheetViews>
  <sheetFormatPr defaultColWidth="17.140625" defaultRowHeight="15" x14ac:dyDescent="0.25"/>
  <cols>
    <col min="1" max="1" width="11.85546875" bestFit="1" customWidth="1"/>
    <col min="2" max="2" width="9.85546875" bestFit="1" customWidth="1"/>
    <col min="3" max="3" width="13.28515625" bestFit="1" customWidth="1"/>
    <col min="257" max="257" width="11.85546875" bestFit="1" customWidth="1"/>
    <col min="258" max="258" width="10.5703125" bestFit="1" customWidth="1"/>
    <col min="513" max="513" width="11.85546875" bestFit="1" customWidth="1"/>
    <col min="514" max="514" width="10.5703125" bestFit="1" customWidth="1"/>
    <col min="769" max="769" width="11.85546875" bestFit="1" customWidth="1"/>
    <col min="770" max="770" width="10.5703125" bestFit="1" customWidth="1"/>
    <col min="1025" max="1025" width="11.85546875" bestFit="1" customWidth="1"/>
    <col min="1026" max="1026" width="10.5703125" bestFit="1" customWidth="1"/>
    <col min="1281" max="1281" width="11.85546875" bestFit="1" customWidth="1"/>
    <col min="1282" max="1282" width="10.5703125" bestFit="1" customWidth="1"/>
    <col min="1537" max="1537" width="11.85546875" bestFit="1" customWidth="1"/>
    <col min="1538" max="1538" width="10.5703125" bestFit="1" customWidth="1"/>
    <col min="1793" max="1793" width="11.85546875" bestFit="1" customWidth="1"/>
    <col min="1794" max="1794" width="10.5703125" bestFit="1" customWidth="1"/>
    <col min="2049" max="2049" width="11.85546875" bestFit="1" customWidth="1"/>
    <col min="2050" max="2050" width="10.5703125" bestFit="1" customWidth="1"/>
    <col min="2305" max="2305" width="11.85546875" bestFit="1" customWidth="1"/>
    <col min="2306" max="2306" width="10.5703125" bestFit="1" customWidth="1"/>
    <col min="2561" max="2561" width="11.85546875" bestFit="1" customWidth="1"/>
    <col min="2562" max="2562" width="10.5703125" bestFit="1" customWidth="1"/>
    <col min="2817" max="2817" width="11.85546875" bestFit="1" customWidth="1"/>
    <col min="2818" max="2818" width="10.5703125" bestFit="1" customWidth="1"/>
    <col min="3073" max="3073" width="11.85546875" bestFit="1" customWidth="1"/>
    <col min="3074" max="3074" width="10.5703125" bestFit="1" customWidth="1"/>
    <col min="3329" max="3329" width="11.85546875" bestFit="1" customWidth="1"/>
    <col min="3330" max="3330" width="10.5703125" bestFit="1" customWidth="1"/>
    <col min="3585" max="3585" width="11.85546875" bestFit="1" customWidth="1"/>
    <col min="3586" max="3586" width="10.5703125" bestFit="1" customWidth="1"/>
    <col min="3841" max="3841" width="11.85546875" bestFit="1" customWidth="1"/>
    <col min="3842" max="3842" width="10.5703125" bestFit="1" customWidth="1"/>
    <col min="4097" max="4097" width="11.85546875" bestFit="1" customWidth="1"/>
    <col min="4098" max="4098" width="10.5703125" bestFit="1" customWidth="1"/>
    <col min="4353" max="4353" width="11.85546875" bestFit="1" customWidth="1"/>
    <col min="4354" max="4354" width="10.5703125" bestFit="1" customWidth="1"/>
    <col min="4609" max="4609" width="11.85546875" bestFit="1" customWidth="1"/>
    <col min="4610" max="4610" width="10.5703125" bestFit="1" customWidth="1"/>
    <col min="4865" max="4865" width="11.85546875" bestFit="1" customWidth="1"/>
    <col min="4866" max="4866" width="10.5703125" bestFit="1" customWidth="1"/>
    <col min="5121" max="5121" width="11.85546875" bestFit="1" customWidth="1"/>
    <col min="5122" max="5122" width="10.5703125" bestFit="1" customWidth="1"/>
    <col min="5377" max="5377" width="11.85546875" bestFit="1" customWidth="1"/>
    <col min="5378" max="5378" width="10.5703125" bestFit="1" customWidth="1"/>
    <col min="5633" max="5633" width="11.85546875" bestFit="1" customWidth="1"/>
    <col min="5634" max="5634" width="10.5703125" bestFit="1" customWidth="1"/>
    <col min="5889" max="5889" width="11.85546875" bestFit="1" customWidth="1"/>
    <col min="5890" max="5890" width="10.5703125" bestFit="1" customWidth="1"/>
    <col min="6145" max="6145" width="11.85546875" bestFit="1" customWidth="1"/>
    <col min="6146" max="6146" width="10.5703125" bestFit="1" customWidth="1"/>
    <col min="6401" max="6401" width="11.85546875" bestFit="1" customWidth="1"/>
    <col min="6402" max="6402" width="10.5703125" bestFit="1" customWidth="1"/>
    <col min="6657" max="6657" width="11.85546875" bestFit="1" customWidth="1"/>
    <col min="6658" max="6658" width="10.5703125" bestFit="1" customWidth="1"/>
    <col min="6913" max="6913" width="11.85546875" bestFit="1" customWidth="1"/>
    <col min="6914" max="6914" width="10.5703125" bestFit="1" customWidth="1"/>
    <col min="7169" max="7169" width="11.85546875" bestFit="1" customWidth="1"/>
    <col min="7170" max="7170" width="10.5703125" bestFit="1" customWidth="1"/>
    <col min="7425" max="7425" width="11.85546875" bestFit="1" customWidth="1"/>
    <col min="7426" max="7426" width="10.5703125" bestFit="1" customWidth="1"/>
    <col min="7681" max="7681" width="11.85546875" bestFit="1" customWidth="1"/>
    <col min="7682" max="7682" width="10.5703125" bestFit="1" customWidth="1"/>
    <col min="7937" max="7937" width="11.85546875" bestFit="1" customWidth="1"/>
    <col min="7938" max="7938" width="10.5703125" bestFit="1" customWidth="1"/>
    <col min="8193" max="8193" width="11.85546875" bestFit="1" customWidth="1"/>
    <col min="8194" max="8194" width="10.5703125" bestFit="1" customWidth="1"/>
    <col min="8449" max="8449" width="11.85546875" bestFit="1" customWidth="1"/>
    <col min="8450" max="8450" width="10.5703125" bestFit="1" customWidth="1"/>
    <col min="8705" max="8705" width="11.85546875" bestFit="1" customWidth="1"/>
    <col min="8706" max="8706" width="10.5703125" bestFit="1" customWidth="1"/>
    <col min="8961" max="8961" width="11.85546875" bestFit="1" customWidth="1"/>
    <col min="8962" max="8962" width="10.5703125" bestFit="1" customWidth="1"/>
    <col min="9217" max="9217" width="11.85546875" bestFit="1" customWidth="1"/>
    <col min="9218" max="9218" width="10.5703125" bestFit="1" customWidth="1"/>
    <col min="9473" max="9473" width="11.85546875" bestFit="1" customWidth="1"/>
    <col min="9474" max="9474" width="10.5703125" bestFit="1" customWidth="1"/>
    <col min="9729" max="9729" width="11.85546875" bestFit="1" customWidth="1"/>
    <col min="9730" max="9730" width="10.5703125" bestFit="1" customWidth="1"/>
    <col min="9985" max="9985" width="11.85546875" bestFit="1" customWidth="1"/>
    <col min="9986" max="9986" width="10.5703125" bestFit="1" customWidth="1"/>
    <col min="10241" max="10241" width="11.85546875" bestFit="1" customWidth="1"/>
    <col min="10242" max="10242" width="10.5703125" bestFit="1" customWidth="1"/>
    <col min="10497" max="10497" width="11.85546875" bestFit="1" customWidth="1"/>
    <col min="10498" max="10498" width="10.5703125" bestFit="1" customWidth="1"/>
    <col min="10753" max="10753" width="11.85546875" bestFit="1" customWidth="1"/>
    <col min="10754" max="10754" width="10.5703125" bestFit="1" customWidth="1"/>
    <col min="11009" max="11009" width="11.85546875" bestFit="1" customWidth="1"/>
    <col min="11010" max="11010" width="10.5703125" bestFit="1" customWidth="1"/>
    <col min="11265" max="11265" width="11.85546875" bestFit="1" customWidth="1"/>
    <col min="11266" max="11266" width="10.5703125" bestFit="1" customWidth="1"/>
    <col min="11521" max="11521" width="11.85546875" bestFit="1" customWidth="1"/>
    <col min="11522" max="11522" width="10.5703125" bestFit="1" customWidth="1"/>
    <col min="11777" max="11777" width="11.85546875" bestFit="1" customWidth="1"/>
    <col min="11778" max="11778" width="10.5703125" bestFit="1" customWidth="1"/>
    <col min="12033" max="12033" width="11.85546875" bestFit="1" customWidth="1"/>
    <col min="12034" max="12034" width="10.5703125" bestFit="1" customWidth="1"/>
    <col min="12289" max="12289" width="11.85546875" bestFit="1" customWidth="1"/>
    <col min="12290" max="12290" width="10.5703125" bestFit="1" customWidth="1"/>
    <col min="12545" max="12545" width="11.85546875" bestFit="1" customWidth="1"/>
    <col min="12546" max="12546" width="10.5703125" bestFit="1" customWidth="1"/>
    <col min="12801" max="12801" width="11.85546875" bestFit="1" customWidth="1"/>
    <col min="12802" max="12802" width="10.5703125" bestFit="1" customWidth="1"/>
    <col min="13057" max="13057" width="11.85546875" bestFit="1" customWidth="1"/>
    <col min="13058" max="13058" width="10.5703125" bestFit="1" customWidth="1"/>
    <col min="13313" max="13313" width="11.85546875" bestFit="1" customWidth="1"/>
    <col min="13314" max="13314" width="10.5703125" bestFit="1" customWidth="1"/>
    <col min="13569" max="13569" width="11.85546875" bestFit="1" customWidth="1"/>
    <col min="13570" max="13570" width="10.5703125" bestFit="1" customWidth="1"/>
    <col min="13825" max="13825" width="11.85546875" bestFit="1" customWidth="1"/>
    <col min="13826" max="13826" width="10.5703125" bestFit="1" customWidth="1"/>
    <col min="14081" max="14081" width="11.85546875" bestFit="1" customWidth="1"/>
    <col min="14082" max="14082" width="10.5703125" bestFit="1" customWidth="1"/>
    <col min="14337" max="14337" width="11.85546875" bestFit="1" customWidth="1"/>
    <col min="14338" max="14338" width="10.5703125" bestFit="1" customWidth="1"/>
    <col min="14593" max="14593" width="11.85546875" bestFit="1" customWidth="1"/>
    <col min="14594" max="14594" width="10.5703125" bestFit="1" customWidth="1"/>
    <col min="14849" max="14849" width="11.85546875" bestFit="1" customWidth="1"/>
    <col min="14850" max="14850" width="10.5703125" bestFit="1" customWidth="1"/>
    <col min="15105" max="15105" width="11.85546875" bestFit="1" customWidth="1"/>
    <col min="15106" max="15106" width="10.5703125" bestFit="1" customWidth="1"/>
    <col min="15361" max="15361" width="11.85546875" bestFit="1" customWidth="1"/>
    <col min="15362" max="15362" width="10.5703125" bestFit="1" customWidth="1"/>
    <col min="15617" max="15617" width="11.85546875" bestFit="1" customWidth="1"/>
    <col min="15618" max="15618" width="10.5703125" bestFit="1" customWidth="1"/>
    <col min="15873" max="15873" width="11.85546875" bestFit="1" customWidth="1"/>
    <col min="15874" max="15874" width="10.5703125" bestFit="1" customWidth="1"/>
    <col min="16129" max="16129" width="11.85546875" bestFit="1" customWidth="1"/>
    <col min="16130" max="16130" width="10.5703125" bestFit="1" customWidth="1"/>
  </cols>
  <sheetData>
    <row r="1" spans="1:5" ht="45" x14ac:dyDescent="0.25">
      <c r="A1" s="109" t="s">
        <v>273</v>
      </c>
      <c r="B1" s="109"/>
    </row>
    <row r="2" spans="1:5" ht="30" x14ac:dyDescent="0.25">
      <c r="A2" s="4" t="s">
        <v>274</v>
      </c>
      <c r="B2" s="3">
        <v>0.04</v>
      </c>
    </row>
    <row r="4" spans="1:5" ht="30" x14ac:dyDescent="0.25">
      <c r="A4" s="110" t="s">
        <v>104</v>
      </c>
      <c r="B4" s="110" t="s">
        <v>105</v>
      </c>
      <c r="C4" s="111" t="s">
        <v>688</v>
      </c>
    </row>
    <row r="5" spans="1:5" x14ac:dyDescent="0.25">
      <c r="A5" s="3" t="s">
        <v>275</v>
      </c>
      <c r="B5" s="91">
        <v>1161</v>
      </c>
      <c r="C5" s="79"/>
      <c r="D5" s="204"/>
      <c r="E5" t="s">
        <v>450</v>
      </c>
    </row>
    <row r="6" spans="1:5" x14ac:dyDescent="0.25">
      <c r="A6" s="3" t="s">
        <v>276</v>
      </c>
      <c r="B6" s="91">
        <v>1321</v>
      </c>
      <c r="C6" s="79"/>
      <c r="D6" s="204"/>
    </row>
    <row r="7" spans="1:5" x14ac:dyDescent="0.25">
      <c r="A7" s="3" t="s">
        <v>277</v>
      </c>
      <c r="B7" s="91">
        <v>1039</v>
      </c>
      <c r="C7" s="79"/>
      <c r="D7" s="46"/>
      <c r="E7" t="s">
        <v>655</v>
      </c>
    </row>
    <row r="8" spans="1:5" x14ac:dyDescent="0.25">
      <c r="A8" s="3" t="s">
        <v>278</v>
      </c>
      <c r="B8" s="91">
        <v>1761</v>
      </c>
      <c r="C8" s="79"/>
      <c r="D8" s="204"/>
      <c r="E8" t="s">
        <v>656</v>
      </c>
    </row>
    <row r="9" spans="1:5" x14ac:dyDescent="0.25">
      <c r="A9" s="3" t="s">
        <v>279</v>
      </c>
      <c r="B9" s="91">
        <v>1561</v>
      </c>
      <c r="C9" s="79"/>
      <c r="D9" s="204"/>
      <c r="E9" t="s">
        <v>657</v>
      </c>
    </row>
    <row r="10" spans="1:5" x14ac:dyDescent="0.25">
      <c r="A10" s="3" t="s">
        <v>280</v>
      </c>
      <c r="B10" s="91">
        <v>1868</v>
      </c>
      <c r="C10" s="79"/>
      <c r="D10" s="204"/>
    </row>
    <row r="11" spans="1:5" x14ac:dyDescent="0.25">
      <c r="A11" s="3" t="s">
        <v>281</v>
      </c>
      <c r="B11" s="91">
        <v>2787</v>
      </c>
      <c r="C11" s="79"/>
      <c r="D11" s="204"/>
    </row>
    <row r="12" spans="1:5" x14ac:dyDescent="0.25">
      <c r="A12" s="3" t="s">
        <v>282</v>
      </c>
      <c r="B12" s="91">
        <v>1849</v>
      </c>
      <c r="C12" s="79"/>
    </row>
    <row r="13" spans="1:5" x14ac:dyDescent="0.25">
      <c r="A13" s="3" t="s">
        <v>283</v>
      </c>
      <c r="B13" s="91">
        <v>2627</v>
      </c>
      <c r="C13" s="79"/>
    </row>
    <row r="14" spans="1:5" x14ac:dyDescent="0.25">
      <c r="A14" s="3" t="s">
        <v>284</v>
      </c>
      <c r="B14" s="91">
        <v>2165</v>
      </c>
      <c r="C14" s="79"/>
    </row>
    <row r="15" spans="1:5" x14ac:dyDescent="0.25">
      <c r="A15" s="3" t="s">
        <v>285</v>
      </c>
      <c r="B15" s="91">
        <v>1589</v>
      </c>
      <c r="C15" s="79"/>
    </row>
    <row r="16" spans="1:5" x14ac:dyDescent="0.25">
      <c r="A16" s="3" t="s">
        <v>286</v>
      </c>
      <c r="B16" s="91">
        <v>2603</v>
      </c>
      <c r="C16" s="79"/>
    </row>
    <row r="17" spans="1:3" x14ac:dyDescent="0.25">
      <c r="A17" s="3" t="s">
        <v>287</v>
      </c>
      <c r="B17" s="91">
        <v>2366</v>
      </c>
      <c r="C17" s="79"/>
    </row>
    <row r="18" spans="1:3" x14ac:dyDescent="0.25">
      <c r="A18" s="3" t="s">
        <v>288</v>
      </c>
      <c r="B18" s="91">
        <v>2107</v>
      </c>
      <c r="C18" s="79"/>
    </row>
    <row r="19" spans="1:3" x14ac:dyDescent="0.25">
      <c r="A19" s="3" t="s">
        <v>289</v>
      </c>
      <c r="B19" s="91">
        <v>2886</v>
      </c>
      <c r="C19" s="79"/>
    </row>
    <row r="20" spans="1:3" x14ac:dyDescent="0.25">
      <c r="A20" s="3" t="s">
        <v>290</v>
      </c>
      <c r="B20" s="91">
        <v>1886</v>
      </c>
      <c r="C20" s="79"/>
    </row>
    <row r="21" spans="1:3" x14ac:dyDescent="0.25">
      <c r="A21" s="3" t="s">
        <v>291</v>
      </c>
      <c r="B21" s="91">
        <v>2177</v>
      </c>
      <c r="C21" s="79"/>
    </row>
    <row r="22" spans="1:3" x14ac:dyDescent="0.25">
      <c r="A22" s="3" t="s">
        <v>292</v>
      </c>
      <c r="B22" s="91">
        <v>1873</v>
      </c>
      <c r="C22" s="79"/>
    </row>
    <row r="23" spans="1:3" x14ac:dyDescent="0.25">
      <c r="A23" s="3" t="s">
        <v>293</v>
      </c>
      <c r="B23" s="91">
        <v>2164</v>
      </c>
      <c r="C23" s="79"/>
    </row>
    <row r="24" spans="1:3" x14ac:dyDescent="0.25">
      <c r="A24" s="3" t="s">
        <v>294</v>
      </c>
      <c r="B24" s="91">
        <v>1394</v>
      </c>
      <c r="C24" s="79"/>
    </row>
    <row r="25" spans="1:3" x14ac:dyDescent="0.25">
      <c r="A25" s="3" t="s">
        <v>295</v>
      </c>
      <c r="B25" s="91">
        <v>2263</v>
      </c>
      <c r="C25" s="79"/>
    </row>
    <row r="26" spans="1:3" x14ac:dyDescent="0.25">
      <c r="A26" s="3" t="s">
        <v>296</v>
      </c>
      <c r="B26" s="91">
        <v>2242</v>
      </c>
      <c r="C26" s="79"/>
    </row>
    <row r="27" spans="1:3" x14ac:dyDescent="0.25">
      <c r="A27" s="3" t="s">
        <v>297</v>
      </c>
      <c r="B27" s="91">
        <v>1474</v>
      </c>
      <c r="C27" s="79"/>
    </row>
    <row r="28" spans="1:3" x14ac:dyDescent="0.25">
      <c r="A28" s="3" t="s">
        <v>298</v>
      </c>
      <c r="B28" s="91">
        <v>1998</v>
      </c>
      <c r="C28" s="79"/>
    </row>
    <row r="29" spans="1:3" x14ac:dyDescent="0.25">
      <c r="A29" s="3" t="s">
        <v>299</v>
      </c>
      <c r="B29" s="91">
        <v>2892</v>
      </c>
      <c r="C29" s="79"/>
    </row>
    <row r="30" spans="1:3" x14ac:dyDescent="0.25">
      <c r="A30" s="3" t="s">
        <v>300</v>
      </c>
      <c r="B30" s="91">
        <v>1873</v>
      </c>
      <c r="C30" s="79"/>
    </row>
    <row r="31" spans="1:3" x14ac:dyDescent="0.25">
      <c r="A31" s="3" t="s">
        <v>301</v>
      </c>
      <c r="B31" s="91">
        <v>1954</v>
      </c>
      <c r="C31" s="79"/>
    </row>
    <row r="32" spans="1:3" x14ac:dyDescent="0.25">
      <c r="A32" s="3" t="s">
        <v>118</v>
      </c>
      <c r="B32" s="91">
        <v>1729</v>
      </c>
      <c r="C32" s="79"/>
    </row>
    <row r="33" spans="1:3" x14ac:dyDescent="0.25">
      <c r="A33" s="3" t="s">
        <v>302</v>
      </c>
      <c r="B33" s="91">
        <v>1140</v>
      </c>
      <c r="C33" s="79"/>
    </row>
    <row r="34" spans="1:3" x14ac:dyDescent="0.25">
      <c r="A34" s="3" t="s">
        <v>303</v>
      </c>
      <c r="B34" s="91">
        <v>1528</v>
      </c>
      <c r="C34" s="79"/>
    </row>
    <row r="35" spans="1:3" x14ac:dyDescent="0.25">
      <c r="A35" s="3" t="s">
        <v>304</v>
      </c>
      <c r="B35" s="91">
        <v>1659</v>
      </c>
      <c r="C35" s="79"/>
    </row>
    <row r="36" spans="1:3" x14ac:dyDescent="0.25">
      <c r="A36" s="3" t="s">
        <v>305</v>
      </c>
      <c r="B36" s="91">
        <v>2119</v>
      </c>
      <c r="C36" s="79"/>
    </row>
    <row r="37" spans="1:3" x14ac:dyDescent="0.25">
      <c r="A37" s="3" t="s">
        <v>306</v>
      </c>
      <c r="B37" s="91">
        <v>1854</v>
      </c>
      <c r="C37" s="79"/>
    </row>
    <row r="38" spans="1:3" x14ac:dyDescent="0.25">
      <c r="A38" s="3" t="s">
        <v>307</v>
      </c>
      <c r="B38" s="91">
        <v>2759</v>
      </c>
      <c r="C38" s="79"/>
    </row>
    <row r="39" spans="1:3" x14ac:dyDescent="0.25">
      <c r="A39" s="3" t="s">
        <v>308</v>
      </c>
      <c r="B39" s="91">
        <v>1237</v>
      </c>
      <c r="C39" s="79"/>
    </row>
    <row r="40" spans="1:3" x14ac:dyDescent="0.25">
      <c r="A40" s="3" t="s">
        <v>109</v>
      </c>
      <c r="B40" s="91">
        <v>1653</v>
      </c>
      <c r="C40" s="79"/>
    </row>
    <row r="41" spans="1:3" x14ac:dyDescent="0.25">
      <c r="A41" s="3" t="s">
        <v>309</v>
      </c>
      <c r="B41" s="91">
        <v>2604</v>
      </c>
      <c r="C41" s="79"/>
    </row>
    <row r="42" spans="1:3" x14ac:dyDescent="0.25">
      <c r="A42" s="3" t="s">
        <v>310</v>
      </c>
      <c r="B42" s="91">
        <v>1479</v>
      </c>
      <c r="C42" s="79"/>
    </row>
    <row r="43" spans="1:3" x14ac:dyDescent="0.25">
      <c r="A43" s="3" t="s">
        <v>311</v>
      </c>
      <c r="B43" s="91">
        <v>2569</v>
      </c>
      <c r="C43" s="79"/>
    </row>
    <row r="44" spans="1:3" x14ac:dyDescent="0.25">
      <c r="A44" s="3" t="s">
        <v>312</v>
      </c>
      <c r="B44" s="91">
        <v>1941</v>
      </c>
      <c r="C44" s="79"/>
    </row>
    <row r="45" spans="1:3" x14ac:dyDescent="0.25">
      <c r="A45" s="3" t="s">
        <v>313</v>
      </c>
      <c r="B45" s="91">
        <v>2793</v>
      </c>
      <c r="C45" s="79"/>
    </row>
    <row r="46" spans="1:3" x14ac:dyDescent="0.25">
      <c r="A46" s="3" t="s">
        <v>314</v>
      </c>
      <c r="B46" s="91">
        <v>2614</v>
      </c>
      <c r="C46" s="79"/>
    </row>
    <row r="47" spans="1:3" x14ac:dyDescent="0.25">
      <c r="A47" s="3" t="s">
        <v>315</v>
      </c>
      <c r="B47" s="91">
        <v>1645</v>
      </c>
      <c r="C47" s="79"/>
    </row>
    <row r="48" spans="1:3" x14ac:dyDescent="0.25">
      <c r="A48" s="3" t="s">
        <v>316</v>
      </c>
      <c r="B48" s="91">
        <v>1733</v>
      </c>
      <c r="C48" s="79"/>
    </row>
    <row r="49" spans="1:3" x14ac:dyDescent="0.25">
      <c r="A49" s="3" t="s">
        <v>317</v>
      </c>
      <c r="B49" s="91">
        <v>2466</v>
      </c>
      <c r="C49" s="79"/>
    </row>
    <row r="50" spans="1:3" x14ac:dyDescent="0.25">
      <c r="A50" s="3" t="s">
        <v>318</v>
      </c>
      <c r="B50" s="91">
        <v>2833</v>
      </c>
      <c r="C50" s="79"/>
    </row>
    <row r="51" spans="1:3" x14ac:dyDescent="0.25">
      <c r="A51" s="3" t="s">
        <v>319</v>
      </c>
      <c r="B51" s="91">
        <v>1604</v>
      </c>
      <c r="C51" s="79"/>
    </row>
    <row r="52" spans="1:3" x14ac:dyDescent="0.25">
      <c r="A52" s="3" t="s">
        <v>320</v>
      </c>
      <c r="B52" s="91">
        <v>2588</v>
      </c>
      <c r="C52" s="7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2"/>
  <sheetViews>
    <sheetView zoomScale="145" zoomScaleNormal="145" workbookViewId="0">
      <selection activeCell="C21" sqref="C21"/>
    </sheetView>
  </sheetViews>
  <sheetFormatPr defaultColWidth="17.140625" defaultRowHeight="15" x14ac:dyDescent="0.25"/>
  <cols>
    <col min="1" max="1" width="11.85546875" bestFit="1" customWidth="1"/>
    <col min="2" max="2" width="9.85546875" bestFit="1" customWidth="1"/>
    <col min="3" max="3" width="11" bestFit="1" customWidth="1"/>
    <col min="257" max="257" width="11.85546875" bestFit="1" customWidth="1"/>
    <col min="258" max="258" width="10.5703125" bestFit="1" customWidth="1"/>
    <col min="513" max="513" width="11.85546875" bestFit="1" customWidth="1"/>
    <col min="514" max="514" width="10.5703125" bestFit="1" customWidth="1"/>
    <col min="769" max="769" width="11.85546875" bestFit="1" customWidth="1"/>
    <col min="770" max="770" width="10.5703125" bestFit="1" customWidth="1"/>
    <col min="1025" max="1025" width="11.85546875" bestFit="1" customWidth="1"/>
    <col min="1026" max="1026" width="10.5703125" bestFit="1" customWidth="1"/>
    <col min="1281" max="1281" width="11.85546875" bestFit="1" customWidth="1"/>
    <col min="1282" max="1282" width="10.5703125" bestFit="1" customWidth="1"/>
    <col min="1537" max="1537" width="11.85546875" bestFit="1" customWidth="1"/>
    <col min="1538" max="1538" width="10.5703125" bestFit="1" customWidth="1"/>
    <col min="1793" max="1793" width="11.85546875" bestFit="1" customWidth="1"/>
    <col min="1794" max="1794" width="10.5703125" bestFit="1" customWidth="1"/>
    <col min="2049" max="2049" width="11.85546875" bestFit="1" customWidth="1"/>
    <col min="2050" max="2050" width="10.5703125" bestFit="1" customWidth="1"/>
    <col min="2305" max="2305" width="11.85546875" bestFit="1" customWidth="1"/>
    <col min="2306" max="2306" width="10.5703125" bestFit="1" customWidth="1"/>
    <col min="2561" max="2561" width="11.85546875" bestFit="1" customWidth="1"/>
    <col min="2562" max="2562" width="10.5703125" bestFit="1" customWidth="1"/>
    <col min="2817" max="2817" width="11.85546875" bestFit="1" customWidth="1"/>
    <col min="2818" max="2818" width="10.5703125" bestFit="1" customWidth="1"/>
    <col min="3073" max="3073" width="11.85546875" bestFit="1" customWidth="1"/>
    <col min="3074" max="3074" width="10.5703125" bestFit="1" customWidth="1"/>
    <col min="3329" max="3329" width="11.85546875" bestFit="1" customWidth="1"/>
    <col min="3330" max="3330" width="10.5703125" bestFit="1" customWidth="1"/>
    <col min="3585" max="3585" width="11.85546875" bestFit="1" customWidth="1"/>
    <col min="3586" max="3586" width="10.5703125" bestFit="1" customWidth="1"/>
    <col min="3841" max="3841" width="11.85546875" bestFit="1" customWidth="1"/>
    <col min="3842" max="3842" width="10.5703125" bestFit="1" customWidth="1"/>
    <col min="4097" max="4097" width="11.85546875" bestFit="1" customWidth="1"/>
    <col min="4098" max="4098" width="10.5703125" bestFit="1" customWidth="1"/>
    <col min="4353" max="4353" width="11.85546875" bestFit="1" customWidth="1"/>
    <col min="4354" max="4354" width="10.5703125" bestFit="1" customWidth="1"/>
    <col min="4609" max="4609" width="11.85546875" bestFit="1" customWidth="1"/>
    <col min="4610" max="4610" width="10.5703125" bestFit="1" customWidth="1"/>
    <col min="4865" max="4865" width="11.85546875" bestFit="1" customWidth="1"/>
    <col min="4866" max="4866" width="10.5703125" bestFit="1" customWidth="1"/>
    <col min="5121" max="5121" width="11.85546875" bestFit="1" customWidth="1"/>
    <col min="5122" max="5122" width="10.5703125" bestFit="1" customWidth="1"/>
    <col min="5377" max="5377" width="11.85546875" bestFit="1" customWidth="1"/>
    <col min="5378" max="5378" width="10.5703125" bestFit="1" customWidth="1"/>
    <col min="5633" max="5633" width="11.85546875" bestFit="1" customWidth="1"/>
    <col min="5634" max="5634" width="10.5703125" bestFit="1" customWidth="1"/>
    <col min="5889" max="5889" width="11.85546875" bestFit="1" customWidth="1"/>
    <col min="5890" max="5890" width="10.5703125" bestFit="1" customWidth="1"/>
    <col min="6145" max="6145" width="11.85546875" bestFit="1" customWidth="1"/>
    <col min="6146" max="6146" width="10.5703125" bestFit="1" customWidth="1"/>
    <col min="6401" max="6401" width="11.85546875" bestFit="1" customWidth="1"/>
    <col min="6402" max="6402" width="10.5703125" bestFit="1" customWidth="1"/>
    <col min="6657" max="6657" width="11.85546875" bestFit="1" customWidth="1"/>
    <col min="6658" max="6658" width="10.5703125" bestFit="1" customWidth="1"/>
    <col min="6913" max="6913" width="11.85546875" bestFit="1" customWidth="1"/>
    <col min="6914" max="6914" width="10.5703125" bestFit="1" customWidth="1"/>
    <col min="7169" max="7169" width="11.85546875" bestFit="1" customWidth="1"/>
    <col min="7170" max="7170" width="10.5703125" bestFit="1" customWidth="1"/>
    <col min="7425" max="7425" width="11.85546875" bestFit="1" customWidth="1"/>
    <col min="7426" max="7426" width="10.5703125" bestFit="1" customWidth="1"/>
    <col min="7681" max="7681" width="11.85546875" bestFit="1" customWidth="1"/>
    <col min="7682" max="7682" width="10.5703125" bestFit="1" customWidth="1"/>
    <col min="7937" max="7937" width="11.85546875" bestFit="1" customWidth="1"/>
    <col min="7938" max="7938" width="10.5703125" bestFit="1" customWidth="1"/>
    <col min="8193" max="8193" width="11.85546875" bestFit="1" customWidth="1"/>
    <col min="8194" max="8194" width="10.5703125" bestFit="1" customWidth="1"/>
    <col min="8449" max="8449" width="11.85546875" bestFit="1" customWidth="1"/>
    <col min="8450" max="8450" width="10.5703125" bestFit="1" customWidth="1"/>
    <col min="8705" max="8705" width="11.85546875" bestFit="1" customWidth="1"/>
    <col min="8706" max="8706" width="10.5703125" bestFit="1" customWidth="1"/>
    <col min="8961" max="8961" width="11.85546875" bestFit="1" customWidth="1"/>
    <col min="8962" max="8962" width="10.5703125" bestFit="1" customWidth="1"/>
    <col min="9217" max="9217" width="11.85546875" bestFit="1" customWidth="1"/>
    <col min="9218" max="9218" width="10.5703125" bestFit="1" customWidth="1"/>
    <col min="9473" max="9473" width="11.85546875" bestFit="1" customWidth="1"/>
    <col min="9474" max="9474" width="10.5703125" bestFit="1" customWidth="1"/>
    <col min="9729" max="9729" width="11.85546875" bestFit="1" customWidth="1"/>
    <col min="9730" max="9730" width="10.5703125" bestFit="1" customWidth="1"/>
    <col min="9985" max="9985" width="11.85546875" bestFit="1" customWidth="1"/>
    <col min="9986" max="9986" width="10.5703125" bestFit="1" customWidth="1"/>
    <col min="10241" max="10241" width="11.85546875" bestFit="1" customWidth="1"/>
    <col min="10242" max="10242" width="10.5703125" bestFit="1" customWidth="1"/>
    <col min="10497" max="10497" width="11.85546875" bestFit="1" customWidth="1"/>
    <col min="10498" max="10498" width="10.5703125" bestFit="1" customWidth="1"/>
    <col min="10753" max="10753" width="11.85546875" bestFit="1" customWidth="1"/>
    <col min="10754" max="10754" width="10.5703125" bestFit="1" customWidth="1"/>
    <col min="11009" max="11009" width="11.85546875" bestFit="1" customWidth="1"/>
    <col min="11010" max="11010" width="10.5703125" bestFit="1" customWidth="1"/>
    <col min="11265" max="11265" width="11.85546875" bestFit="1" customWidth="1"/>
    <col min="11266" max="11266" width="10.5703125" bestFit="1" customWidth="1"/>
    <col min="11521" max="11521" width="11.85546875" bestFit="1" customWidth="1"/>
    <col min="11522" max="11522" width="10.5703125" bestFit="1" customWidth="1"/>
    <col min="11777" max="11777" width="11.85546875" bestFit="1" customWidth="1"/>
    <col min="11778" max="11778" width="10.5703125" bestFit="1" customWidth="1"/>
    <col min="12033" max="12033" width="11.85546875" bestFit="1" customWidth="1"/>
    <col min="12034" max="12034" width="10.5703125" bestFit="1" customWidth="1"/>
    <col min="12289" max="12289" width="11.85546875" bestFit="1" customWidth="1"/>
    <col min="12290" max="12290" width="10.5703125" bestFit="1" customWidth="1"/>
    <col min="12545" max="12545" width="11.85546875" bestFit="1" customWidth="1"/>
    <col min="12546" max="12546" width="10.5703125" bestFit="1" customWidth="1"/>
    <col min="12801" max="12801" width="11.85546875" bestFit="1" customWidth="1"/>
    <col min="12802" max="12802" width="10.5703125" bestFit="1" customWidth="1"/>
    <col min="13057" max="13057" width="11.85546875" bestFit="1" customWidth="1"/>
    <col min="13058" max="13058" width="10.5703125" bestFit="1" customWidth="1"/>
    <col min="13313" max="13313" width="11.85546875" bestFit="1" customWidth="1"/>
    <col min="13314" max="13314" width="10.5703125" bestFit="1" customWidth="1"/>
    <col min="13569" max="13569" width="11.85546875" bestFit="1" customWidth="1"/>
    <col min="13570" max="13570" width="10.5703125" bestFit="1" customWidth="1"/>
    <col min="13825" max="13825" width="11.85546875" bestFit="1" customWidth="1"/>
    <col min="13826" max="13826" width="10.5703125" bestFit="1" customWidth="1"/>
    <col min="14081" max="14081" width="11.85546875" bestFit="1" customWidth="1"/>
    <col min="14082" max="14082" width="10.5703125" bestFit="1" customWidth="1"/>
    <col min="14337" max="14337" width="11.85546875" bestFit="1" customWidth="1"/>
    <col min="14338" max="14338" width="10.5703125" bestFit="1" customWidth="1"/>
    <col min="14593" max="14593" width="11.85546875" bestFit="1" customWidth="1"/>
    <col min="14594" max="14594" width="10.5703125" bestFit="1" customWidth="1"/>
    <col min="14849" max="14849" width="11.85546875" bestFit="1" customWidth="1"/>
    <col min="14850" max="14850" width="10.5703125" bestFit="1" customWidth="1"/>
    <col min="15105" max="15105" width="11.85546875" bestFit="1" customWidth="1"/>
    <col min="15106" max="15106" width="10.5703125" bestFit="1" customWidth="1"/>
    <col min="15361" max="15361" width="11.85546875" bestFit="1" customWidth="1"/>
    <col min="15362" max="15362" width="10.5703125" bestFit="1" customWidth="1"/>
    <col min="15617" max="15617" width="11.85546875" bestFit="1" customWidth="1"/>
    <col min="15618" max="15618" width="10.5703125" bestFit="1" customWidth="1"/>
    <col min="15873" max="15873" width="11.85546875" bestFit="1" customWidth="1"/>
    <col min="15874" max="15874" width="10.5703125" bestFit="1" customWidth="1"/>
    <col min="16129" max="16129" width="11.85546875" bestFit="1" customWidth="1"/>
    <col min="16130" max="16130" width="10.5703125" bestFit="1" customWidth="1"/>
  </cols>
  <sheetData>
    <row r="1" spans="1:5" ht="45" x14ac:dyDescent="0.25">
      <c r="A1" s="109" t="s">
        <v>273</v>
      </c>
      <c r="B1" s="109"/>
    </row>
    <row r="2" spans="1:5" ht="30" x14ac:dyDescent="0.25">
      <c r="A2" s="4" t="s">
        <v>274</v>
      </c>
      <c r="B2" s="3">
        <v>0.04</v>
      </c>
    </row>
    <row r="4" spans="1:5" ht="45" x14ac:dyDescent="0.25">
      <c r="A4" s="110" t="s">
        <v>104</v>
      </c>
      <c r="B4" s="110" t="s">
        <v>105</v>
      </c>
      <c r="C4" s="111" t="s">
        <v>688</v>
      </c>
    </row>
    <row r="5" spans="1:5" x14ac:dyDescent="0.25">
      <c r="A5" s="3" t="s">
        <v>275</v>
      </c>
      <c r="B5" s="91">
        <v>1161</v>
      </c>
      <c r="C5" s="79">
        <f>B5*B$2</f>
        <v>46.44</v>
      </c>
      <c r="D5" s="204"/>
      <c r="E5" t="s">
        <v>450</v>
      </c>
    </row>
    <row r="6" spans="1:5" x14ac:dyDescent="0.25">
      <c r="A6" s="3" t="s">
        <v>276</v>
      </c>
      <c r="B6" s="91">
        <v>1321</v>
      </c>
      <c r="C6" s="79">
        <f>B6*B$2</f>
        <v>52.84</v>
      </c>
      <c r="D6" s="204"/>
    </row>
    <row r="7" spans="1:5" x14ac:dyDescent="0.25">
      <c r="A7" s="3" t="s">
        <v>277</v>
      </c>
      <c r="B7" s="91">
        <v>1039</v>
      </c>
      <c r="C7" s="79">
        <f>B7*B$2</f>
        <v>41.56</v>
      </c>
      <c r="E7" t="s">
        <v>655</v>
      </c>
    </row>
    <row r="8" spans="1:5" x14ac:dyDescent="0.25">
      <c r="A8" s="3" t="s">
        <v>278</v>
      </c>
      <c r="B8" s="91">
        <v>1761</v>
      </c>
      <c r="C8" s="79">
        <f t="shared" ref="C8:C52" si="0">B8*B$2</f>
        <v>70.44</v>
      </c>
      <c r="E8" t="s">
        <v>656</v>
      </c>
    </row>
    <row r="9" spans="1:5" x14ac:dyDescent="0.25">
      <c r="A9" s="3" t="s">
        <v>279</v>
      </c>
      <c r="B9" s="91">
        <v>1561</v>
      </c>
      <c r="C9" s="79">
        <f t="shared" si="0"/>
        <v>62.440000000000005</v>
      </c>
      <c r="E9" t="s">
        <v>657</v>
      </c>
    </row>
    <row r="10" spans="1:5" x14ac:dyDescent="0.25">
      <c r="A10" s="3" t="s">
        <v>280</v>
      </c>
      <c r="B10" s="91">
        <v>1868</v>
      </c>
      <c r="C10" s="79">
        <f t="shared" si="0"/>
        <v>74.72</v>
      </c>
    </row>
    <row r="11" spans="1:5" x14ac:dyDescent="0.25">
      <c r="A11" s="3" t="s">
        <v>281</v>
      </c>
      <c r="B11" s="91">
        <v>2787</v>
      </c>
      <c r="C11" s="79">
        <f t="shared" si="0"/>
        <v>111.48</v>
      </c>
    </row>
    <row r="12" spans="1:5" x14ac:dyDescent="0.25">
      <c r="A12" s="3" t="s">
        <v>282</v>
      </c>
      <c r="B12" s="91">
        <v>1849</v>
      </c>
      <c r="C12" s="79">
        <f t="shared" si="0"/>
        <v>73.960000000000008</v>
      </c>
    </row>
    <row r="13" spans="1:5" x14ac:dyDescent="0.25">
      <c r="A13" s="3" t="s">
        <v>283</v>
      </c>
      <c r="B13" s="91">
        <v>2627</v>
      </c>
      <c r="C13" s="79">
        <f t="shared" si="0"/>
        <v>105.08</v>
      </c>
    </row>
    <row r="14" spans="1:5" x14ac:dyDescent="0.25">
      <c r="A14" s="3" t="s">
        <v>284</v>
      </c>
      <c r="B14" s="91">
        <v>2165</v>
      </c>
      <c r="C14" s="79">
        <f t="shared" si="0"/>
        <v>86.600000000000009</v>
      </c>
    </row>
    <row r="15" spans="1:5" x14ac:dyDescent="0.25">
      <c r="A15" s="3" t="s">
        <v>285</v>
      </c>
      <c r="B15" s="91">
        <v>1589</v>
      </c>
      <c r="C15" s="79">
        <f t="shared" si="0"/>
        <v>63.56</v>
      </c>
    </row>
    <row r="16" spans="1:5" x14ac:dyDescent="0.25">
      <c r="A16" s="3" t="s">
        <v>286</v>
      </c>
      <c r="B16" s="91">
        <v>2603</v>
      </c>
      <c r="C16" s="79">
        <f t="shared" si="0"/>
        <v>104.12</v>
      </c>
    </row>
    <row r="17" spans="1:3" x14ac:dyDescent="0.25">
      <c r="A17" s="3" t="s">
        <v>287</v>
      </c>
      <c r="B17" s="91">
        <v>2366</v>
      </c>
      <c r="C17" s="79">
        <f t="shared" si="0"/>
        <v>94.64</v>
      </c>
    </row>
    <row r="18" spans="1:3" x14ac:dyDescent="0.25">
      <c r="A18" s="3" t="s">
        <v>288</v>
      </c>
      <c r="B18" s="91">
        <v>2107</v>
      </c>
      <c r="C18" s="79">
        <f t="shared" si="0"/>
        <v>84.28</v>
      </c>
    </row>
    <row r="19" spans="1:3" x14ac:dyDescent="0.25">
      <c r="A19" s="3" t="s">
        <v>289</v>
      </c>
      <c r="B19" s="91">
        <v>2886</v>
      </c>
      <c r="C19" s="79">
        <f t="shared" si="0"/>
        <v>115.44</v>
      </c>
    </row>
    <row r="20" spans="1:3" x14ac:dyDescent="0.25">
      <c r="A20" s="3" t="s">
        <v>290</v>
      </c>
      <c r="B20" s="91">
        <v>1886</v>
      </c>
      <c r="C20" s="79">
        <f t="shared" si="0"/>
        <v>75.44</v>
      </c>
    </row>
    <row r="21" spans="1:3" x14ac:dyDescent="0.25">
      <c r="A21" s="3" t="s">
        <v>291</v>
      </c>
      <c r="B21" s="91">
        <v>2177</v>
      </c>
      <c r="C21" s="79">
        <f t="shared" si="0"/>
        <v>87.08</v>
      </c>
    </row>
    <row r="22" spans="1:3" x14ac:dyDescent="0.25">
      <c r="A22" s="3" t="s">
        <v>292</v>
      </c>
      <c r="B22" s="91">
        <v>1873</v>
      </c>
      <c r="C22" s="79">
        <f t="shared" si="0"/>
        <v>74.92</v>
      </c>
    </row>
    <row r="23" spans="1:3" x14ac:dyDescent="0.25">
      <c r="A23" s="3" t="s">
        <v>293</v>
      </c>
      <c r="B23" s="91">
        <v>2164</v>
      </c>
      <c r="C23" s="79">
        <f t="shared" si="0"/>
        <v>86.56</v>
      </c>
    </row>
    <row r="24" spans="1:3" x14ac:dyDescent="0.25">
      <c r="A24" s="3" t="s">
        <v>294</v>
      </c>
      <c r="B24" s="91">
        <v>1394</v>
      </c>
      <c r="C24" s="79">
        <f t="shared" si="0"/>
        <v>55.76</v>
      </c>
    </row>
    <row r="25" spans="1:3" x14ac:dyDescent="0.25">
      <c r="A25" s="3" t="s">
        <v>295</v>
      </c>
      <c r="B25" s="91">
        <v>2263</v>
      </c>
      <c r="C25" s="79">
        <f t="shared" si="0"/>
        <v>90.52</v>
      </c>
    </row>
    <row r="26" spans="1:3" x14ac:dyDescent="0.25">
      <c r="A26" s="3" t="s">
        <v>296</v>
      </c>
      <c r="B26" s="91">
        <v>2242</v>
      </c>
      <c r="C26" s="79">
        <f t="shared" si="0"/>
        <v>89.68</v>
      </c>
    </row>
    <row r="27" spans="1:3" x14ac:dyDescent="0.25">
      <c r="A27" s="3" t="s">
        <v>297</v>
      </c>
      <c r="B27" s="91">
        <v>1474</v>
      </c>
      <c r="C27" s="79">
        <f t="shared" si="0"/>
        <v>58.96</v>
      </c>
    </row>
    <row r="28" spans="1:3" x14ac:dyDescent="0.25">
      <c r="A28" s="3" t="s">
        <v>298</v>
      </c>
      <c r="B28" s="91">
        <v>1998</v>
      </c>
      <c r="C28" s="79">
        <f t="shared" si="0"/>
        <v>79.92</v>
      </c>
    </row>
    <row r="29" spans="1:3" x14ac:dyDescent="0.25">
      <c r="A29" s="3" t="s">
        <v>299</v>
      </c>
      <c r="B29" s="91">
        <v>2892</v>
      </c>
      <c r="C29" s="79">
        <f t="shared" si="0"/>
        <v>115.68</v>
      </c>
    </row>
    <row r="30" spans="1:3" x14ac:dyDescent="0.25">
      <c r="A30" s="3" t="s">
        <v>300</v>
      </c>
      <c r="B30" s="91">
        <v>1873</v>
      </c>
      <c r="C30" s="79">
        <f t="shared" si="0"/>
        <v>74.92</v>
      </c>
    </row>
    <row r="31" spans="1:3" x14ac:dyDescent="0.25">
      <c r="A31" s="3" t="s">
        <v>301</v>
      </c>
      <c r="B31" s="91">
        <v>1954</v>
      </c>
      <c r="C31" s="79">
        <f t="shared" si="0"/>
        <v>78.16</v>
      </c>
    </row>
    <row r="32" spans="1:3" x14ac:dyDescent="0.25">
      <c r="A32" s="3" t="s">
        <v>118</v>
      </c>
      <c r="B32" s="91">
        <v>1729</v>
      </c>
      <c r="C32" s="79">
        <f t="shared" si="0"/>
        <v>69.16</v>
      </c>
    </row>
    <row r="33" spans="1:3" x14ac:dyDescent="0.25">
      <c r="A33" s="3" t="s">
        <v>302</v>
      </c>
      <c r="B33" s="91">
        <v>1140</v>
      </c>
      <c r="C33" s="79">
        <f t="shared" si="0"/>
        <v>45.6</v>
      </c>
    </row>
    <row r="34" spans="1:3" x14ac:dyDescent="0.25">
      <c r="A34" s="3" t="s">
        <v>303</v>
      </c>
      <c r="B34" s="91">
        <v>1528</v>
      </c>
      <c r="C34" s="79">
        <f t="shared" si="0"/>
        <v>61.120000000000005</v>
      </c>
    </row>
    <row r="35" spans="1:3" x14ac:dyDescent="0.25">
      <c r="A35" s="3" t="s">
        <v>304</v>
      </c>
      <c r="B35" s="91">
        <v>1659</v>
      </c>
      <c r="C35" s="79">
        <f t="shared" si="0"/>
        <v>66.36</v>
      </c>
    </row>
    <row r="36" spans="1:3" x14ac:dyDescent="0.25">
      <c r="A36" s="3" t="s">
        <v>305</v>
      </c>
      <c r="B36" s="91">
        <v>2119</v>
      </c>
      <c r="C36" s="79">
        <f t="shared" si="0"/>
        <v>84.76</v>
      </c>
    </row>
    <row r="37" spans="1:3" x14ac:dyDescent="0.25">
      <c r="A37" s="3" t="s">
        <v>306</v>
      </c>
      <c r="B37" s="91">
        <v>1854</v>
      </c>
      <c r="C37" s="79">
        <f t="shared" si="0"/>
        <v>74.16</v>
      </c>
    </row>
    <row r="38" spans="1:3" x14ac:dyDescent="0.25">
      <c r="A38" s="3" t="s">
        <v>307</v>
      </c>
      <c r="B38" s="91">
        <v>2759</v>
      </c>
      <c r="C38" s="79">
        <f t="shared" si="0"/>
        <v>110.36</v>
      </c>
    </row>
    <row r="39" spans="1:3" x14ac:dyDescent="0.25">
      <c r="A39" s="3" t="s">
        <v>308</v>
      </c>
      <c r="B39" s="91">
        <v>1237</v>
      </c>
      <c r="C39" s="79">
        <f t="shared" si="0"/>
        <v>49.480000000000004</v>
      </c>
    </row>
    <row r="40" spans="1:3" x14ac:dyDescent="0.25">
      <c r="A40" s="3" t="s">
        <v>109</v>
      </c>
      <c r="B40" s="91">
        <v>1653</v>
      </c>
      <c r="C40" s="79">
        <f t="shared" si="0"/>
        <v>66.12</v>
      </c>
    </row>
    <row r="41" spans="1:3" x14ac:dyDescent="0.25">
      <c r="A41" s="3" t="s">
        <v>309</v>
      </c>
      <c r="B41" s="91">
        <v>2604</v>
      </c>
      <c r="C41" s="79">
        <f t="shared" si="0"/>
        <v>104.16</v>
      </c>
    </row>
    <row r="42" spans="1:3" x14ac:dyDescent="0.25">
      <c r="A42" s="3" t="s">
        <v>310</v>
      </c>
      <c r="B42" s="91">
        <v>1479</v>
      </c>
      <c r="C42" s="79">
        <f t="shared" si="0"/>
        <v>59.160000000000004</v>
      </c>
    </row>
    <row r="43" spans="1:3" x14ac:dyDescent="0.25">
      <c r="A43" s="3" t="s">
        <v>311</v>
      </c>
      <c r="B43" s="91">
        <v>2569</v>
      </c>
      <c r="C43" s="79">
        <f t="shared" si="0"/>
        <v>102.76</v>
      </c>
    </row>
    <row r="44" spans="1:3" x14ac:dyDescent="0.25">
      <c r="A44" s="3" t="s">
        <v>312</v>
      </c>
      <c r="B44" s="91">
        <v>1941</v>
      </c>
      <c r="C44" s="79">
        <f t="shared" si="0"/>
        <v>77.64</v>
      </c>
    </row>
    <row r="45" spans="1:3" x14ac:dyDescent="0.25">
      <c r="A45" s="3" t="s">
        <v>313</v>
      </c>
      <c r="B45" s="91">
        <v>2793</v>
      </c>
      <c r="C45" s="79">
        <f t="shared" si="0"/>
        <v>111.72</v>
      </c>
    </row>
    <row r="46" spans="1:3" x14ac:dyDescent="0.25">
      <c r="A46" s="3" t="s">
        <v>314</v>
      </c>
      <c r="B46" s="91">
        <v>2614</v>
      </c>
      <c r="C46" s="79">
        <f t="shared" si="0"/>
        <v>104.56</v>
      </c>
    </row>
    <row r="47" spans="1:3" x14ac:dyDescent="0.25">
      <c r="A47" s="3" t="s">
        <v>315</v>
      </c>
      <c r="B47" s="91">
        <v>1645</v>
      </c>
      <c r="C47" s="79">
        <f t="shared" si="0"/>
        <v>65.8</v>
      </c>
    </row>
    <row r="48" spans="1:3" x14ac:dyDescent="0.25">
      <c r="A48" s="3" t="s">
        <v>316</v>
      </c>
      <c r="B48" s="91">
        <v>1733</v>
      </c>
      <c r="C48" s="79">
        <f t="shared" si="0"/>
        <v>69.320000000000007</v>
      </c>
    </row>
    <row r="49" spans="1:3" x14ac:dyDescent="0.25">
      <c r="A49" s="3" t="s">
        <v>317</v>
      </c>
      <c r="B49" s="91">
        <v>2466</v>
      </c>
      <c r="C49" s="79">
        <f t="shared" si="0"/>
        <v>98.64</v>
      </c>
    </row>
    <row r="50" spans="1:3" x14ac:dyDescent="0.25">
      <c r="A50" s="3" t="s">
        <v>318</v>
      </c>
      <c r="B50" s="91">
        <v>2833</v>
      </c>
      <c r="C50" s="79">
        <f t="shared" si="0"/>
        <v>113.32000000000001</v>
      </c>
    </row>
    <row r="51" spans="1:3" x14ac:dyDescent="0.25">
      <c r="A51" s="3" t="s">
        <v>319</v>
      </c>
      <c r="B51" s="91">
        <v>1604</v>
      </c>
      <c r="C51" s="79">
        <f t="shared" si="0"/>
        <v>64.16</v>
      </c>
    </row>
    <row r="52" spans="1:3" x14ac:dyDescent="0.25">
      <c r="A52" s="3" t="s">
        <v>320</v>
      </c>
      <c r="B52" s="91">
        <v>2588</v>
      </c>
      <c r="C52" s="79">
        <f t="shared" si="0"/>
        <v>103.52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127"/>
  <sheetViews>
    <sheetView zoomScaleNormal="100" workbookViewId="0">
      <selection activeCell="C21" sqref="C21"/>
    </sheetView>
  </sheetViews>
  <sheetFormatPr defaultRowHeight="15" x14ac:dyDescent="0.25"/>
  <cols>
    <col min="1" max="1" width="10.85546875" bestFit="1" customWidth="1"/>
    <col min="2" max="2" width="9" bestFit="1" customWidth="1"/>
    <col min="3" max="3" width="11.7109375" bestFit="1" customWidth="1"/>
    <col min="4" max="4" width="9.7109375" bestFit="1" customWidth="1"/>
    <col min="5" max="5" width="10.5703125" bestFit="1" customWidth="1"/>
    <col min="6" max="6" width="5.7109375" customWidth="1"/>
    <col min="7" max="7" width="10.5703125" bestFit="1" customWidth="1"/>
    <col min="8" max="8" width="11.5703125" bestFit="1" customWidth="1"/>
    <col min="9" max="9" width="5.28515625" customWidth="1"/>
    <col min="10" max="10" width="15.42578125" customWidth="1"/>
    <col min="11" max="11" width="7.85546875" bestFit="1" customWidth="1"/>
    <col min="12" max="12" width="10.5703125" bestFit="1" customWidth="1"/>
    <col min="13" max="14" width="7.85546875" bestFit="1" customWidth="1"/>
  </cols>
  <sheetData>
    <row r="1" spans="1:12" x14ac:dyDescent="0.25">
      <c r="A1" s="110" t="s">
        <v>103</v>
      </c>
      <c r="B1" s="110" t="s">
        <v>104</v>
      </c>
      <c r="C1" s="110" t="s">
        <v>338</v>
      </c>
      <c r="D1" s="111" t="s">
        <v>339</v>
      </c>
      <c r="E1" s="111" t="s">
        <v>105</v>
      </c>
      <c r="G1" s="1" t="s">
        <v>104</v>
      </c>
      <c r="H1" s="1" t="s">
        <v>340</v>
      </c>
      <c r="J1" t="s">
        <v>341</v>
      </c>
    </row>
    <row r="2" spans="1:12" x14ac:dyDescent="0.25">
      <c r="A2" s="129">
        <v>40186</v>
      </c>
      <c r="B2" s="130" t="s">
        <v>342</v>
      </c>
      <c r="C2" s="130" t="s">
        <v>343</v>
      </c>
      <c r="D2" s="130">
        <v>27</v>
      </c>
      <c r="E2" s="131">
        <v>1179.6299999999999</v>
      </c>
      <c r="G2" s="130" t="s">
        <v>342</v>
      </c>
      <c r="H2" s="53"/>
      <c r="J2" s="53">
        <f>SUMIF(B$2:B$19,G2,E$2:E$19)</f>
        <v>2641.48</v>
      </c>
      <c r="L2" s="53">
        <f ca="1">SUMIF(B$2:B$19,G2,E$2)</f>
        <v>2641.48</v>
      </c>
    </row>
    <row r="3" spans="1:12" x14ac:dyDescent="0.25">
      <c r="A3" s="129">
        <v>40181</v>
      </c>
      <c r="B3" s="130" t="s">
        <v>344</v>
      </c>
      <c r="C3" s="130" t="s">
        <v>343</v>
      </c>
      <c r="D3" s="130">
        <v>20</v>
      </c>
      <c r="E3" s="131">
        <v>873.8</v>
      </c>
      <c r="G3" s="130" t="s">
        <v>344</v>
      </c>
      <c r="H3" s="53"/>
      <c r="J3" s="53">
        <f t="shared" ref="J3:J8" si="0">SUMIF(B$2:B$19,G3,E$2:E$19)</f>
        <v>1314.1999999999998</v>
      </c>
      <c r="L3" s="53">
        <f t="shared" ref="L3:L8" ca="1" si="1">SUMIF(B$2:B$19,G3,E$2)</f>
        <v>1314.1999999999998</v>
      </c>
    </row>
    <row r="4" spans="1:12" x14ac:dyDescent="0.25">
      <c r="A4" s="129">
        <v>40184</v>
      </c>
      <c r="B4" s="130" t="s">
        <v>342</v>
      </c>
      <c r="C4" s="130" t="s">
        <v>345</v>
      </c>
      <c r="D4" s="130">
        <v>23</v>
      </c>
      <c r="E4" s="131">
        <v>757.85</v>
      </c>
      <c r="G4" s="130" t="s">
        <v>346</v>
      </c>
      <c r="H4" s="53"/>
      <c r="J4" s="53">
        <f t="shared" si="0"/>
        <v>1080.7</v>
      </c>
      <c r="K4" t="s">
        <v>347</v>
      </c>
      <c r="L4" s="53">
        <f t="shared" ca="1" si="1"/>
        <v>1080.7</v>
      </c>
    </row>
    <row r="5" spans="1:12" x14ac:dyDescent="0.25">
      <c r="A5" s="129">
        <v>40179</v>
      </c>
      <c r="B5" s="130" t="s">
        <v>346</v>
      </c>
      <c r="C5" s="130" t="s">
        <v>348</v>
      </c>
      <c r="D5" s="130">
        <v>26</v>
      </c>
      <c r="E5" s="131">
        <v>492.7</v>
      </c>
      <c r="G5" s="130" t="s">
        <v>349</v>
      </c>
      <c r="H5" s="53"/>
      <c r="J5" s="53">
        <f t="shared" si="0"/>
        <v>343.84999999999997</v>
      </c>
      <c r="L5" s="53">
        <f t="shared" ca="1" si="1"/>
        <v>343.84999999999997</v>
      </c>
    </row>
    <row r="6" spans="1:12" x14ac:dyDescent="0.25">
      <c r="A6" s="129">
        <v>40184</v>
      </c>
      <c r="B6" s="130" t="s">
        <v>342</v>
      </c>
      <c r="C6" s="130" t="s">
        <v>350</v>
      </c>
      <c r="D6" s="130">
        <v>25</v>
      </c>
      <c r="E6" s="131">
        <v>350</v>
      </c>
      <c r="G6" s="130" t="s">
        <v>351</v>
      </c>
      <c r="H6" s="53"/>
      <c r="J6" s="53">
        <f t="shared" si="0"/>
        <v>534.4</v>
      </c>
      <c r="L6" s="53">
        <f t="shared" ca="1" si="1"/>
        <v>534.4</v>
      </c>
    </row>
    <row r="7" spans="1:12" x14ac:dyDescent="0.25">
      <c r="A7" s="129">
        <v>40186</v>
      </c>
      <c r="B7" s="130" t="s">
        <v>349</v>
      </c>
      <c r="C7" s="130" t="s">
        <v>352</v>
      </c>
      <c r="D7" s="130">
        <v>23</v>
      </c>
      <c r="E7" s="131">
        <v>343.84999999999997</v>
      </c>
      <c r="G7" s="130" t="s">
        <v>246</v>
      </c>
      <c r="H7" s="53"/>
      <c r="J7" s="53">
        <f t="shared" si="0"/>
        <v>302</v>
      </c>
      <c r="L7" s="53">
        <f t="shared" ca="1" si="1"/>
        <v>302</v>
      </c>
    </row>
    <row r="8" spans="1:12" x14ac:dyDescent="0.25">
      <c r="A8" s="129">
        <v>40180</v>
      </c>
      <c r="B8" s="130" t="s">
        <v>346</v>
      </c>
      <c r="C8" s="130" t="s">
        <v>350</v>
      </c>
      <c r="D8" s="130">
        <v>24</v>
      </c>
      <c r="E8" s="131">
        <v>336</v>
      </c>
      <c r="G8" s="130" t="s">
        <v>353</v>
      </c>
      <c r="H8" s="53"/>
      <c r="J8" s="53">
        <f t="shared" si="0"/>
        <v>29</v>
      </c>
      <c r="L8" s="53">
        <f t="shared" ca="1" si="1"/>
        <v>29</v>
      </c>
    </row>
    <row r="9" spans="1:12" x14ac:dyDescent="0.25">
      <c r="A9" s="129">
        <v>40183</v>
      </c>
      <c r="B9" s="130" t="s">
        <v>351</v>
      </c>
      <c r="C9" s="130" t="s">
        <v>352</v>
      </c>
      <c r="D9" s="130">
        <v>18</v>
      </c>
      <c r="E9" s="131">
        <v>269.09999999999997</v>
      </c>
    </row>
    <row r="10" spans="1:12" x14ac:dyDescent="0.25">
      <c r="A10" s="129">
        <v>40185</v>
      </c>
      <c r="B10" s="130" t="s">
        <v>351</v>
      </c>
      <c r="C10" s="130" t="s">
        <v>348</v>
      </c>
      <c r="D10" s="130">
        <v>14</v>
      </c>
      <c r="E10" s="131">
        <v>265.3</v>
      </c>
    </row>
    <row r="11" spans="1:12" x14ac:dyDescent="0.25">
      <c r="A11" s="129">
        <v>40186</v>
      </c>
      <c r="B11" s="130" t="s">
        <v>346</v>
      </c>
      <c r="C11" s="130" t="s">
        <v>354</v>
      </c>
      <c r="D11" s="130">
        <v>14</v>
      </c>
      <c r="E11" s="131">
        <v>252</v>
      </c>
      <c r="H11" t="s">
        <v>666</v>
      </c>
    </row>
    <row r="12" spans="1:12" x14ac:dyDescent="0.25">
      <c r="A12" s="129">
        <v>40185</v>
      </c>
      <c r="B12" s="130" t="s">
        <v>342</v>
      </c>
      <c r="C12" s="130" t="s">
        <v>354</v>
      </c>
      <c r="D12" s="130">
        <v>13</v>
      </c>
      <c r="E12" s="131">
        <v>234</v>
      </c>
    </row>
    <row r="13" spans="1:12" x14ac:dyDescent="0.25">
      <c r="A13" s="129">
        <v>40184</v>
      </c>
      <c r="B13" s="130" t="s">
        <v>246</v>
      </c>
      <c r="C13" s="130" t="s">
        <v>350</v>
      </c>
      <c r="D13" s="130">
        <v>13</v>
      </c>
      <c r="E13" s="131">
        <v>182</v>
      </c>
    </row>
    <row r="14" spans="1:12" x14ac:dyDescent="0.25">
      <c r="A14" s="129">
        <v>40181</v>
      </c>
      <c r="B14" s="130" t="s">
        <v>344</v>
      </c>
      <c r="C14" s="130" t="s">
        <v>355</v>
      </c>
      <c r="D14" s="130">
        <v>10</v>
      </c>
      <c r="E14" s="131">
        <v>159.5</v>
      </c>
    </row>
    <row r="15" spans="1:12" x14ac:dyDescent="0.25">
      <c r="A15" s="129">
        <v>40185</v>
      </c>
      <c r="B15" s="130" t="s">
        <v>344</v>
      </c>
      <c r="C15" s="130" t="s">
        <v>356</v>
      </c>
      <c r="D15" s="130">
        <v>6</v>
      </c>
      <c r="E15" s="131">
        <v>153.30000000000001</v>
      </c>
    </row>
    <row r="16" spans="1:12" x14ac:dyDescent="0.25">
      <c r="A16" s="129">
        <v>40184</v>
      </c>
      <c r="B16" s="130" t="s">
        <v>344</v>
      </c>
      <c r="C16" s="130" t="s">
        <v>355</v>
      </c>
      <c r="D16" s="130">
        <v>8</v>
      </c>
      <c r="E16" s="131">
        <v>127.6</v>
      </c>
    </row>
    <row r="17" spans="1:14" x14ac:dyDescent="0.25">
      <c r="A17" s="129">
        <v>40184</v>
      </c>
      <c r="B17" s="130" t="s">
        <v>246</v>
      </c>
      <c r="C17" s="130" t="s">
        <v>357</v>
      </c>
      <c r="D17" s="130">
        <v>10</v>
      </c>
      <c r="E17" s="131">
        <v>120</v>
      </c>
    </row>
    <row r="18" spans="1:14" x14ac:dyDescent="0.25">
      <c r="A18" s="129">
        <v>40186</v>
      </c>
      <c r="B18" s="130" t="s">
        <v>342</v>
      </c>
      <c r="C18" s="130" t="s">
        <v>358</v>
      </c>
      <c r="D18" s="130">
        <v>12</v>
      </c>
      <c r="E18" s="131">
        <v>120</v>
      </c>
    </row>
    <row r="19" spans="1:14" x14ac:dyDescent="0.25">
      <c r="A19" s="129">
        <v>40187</v>
      </c>
      <c r="B19" s="130" t="s">
        <v>353</v>
      </c>
      <c r="C19" s="130" t="s">
        <v>354</v>
      </c>
      <c r="D19" s="130">
        <v>1</v>
      </c>
      <c r="E19" s="131">
        <v>29</v>
      </c>
    </row>
    <row r="22" spans="1:14" x14ac:dyDescent="0.25">
      <c r="A22" s="110" t="s">
        <v>103</v>
      </c>
      <c r="B22" s="110" t="s">
        <v>243</v>
      </c>
      <c r="C22" s="110" t="s">
        <v>242</v>
      </c>
      <c r="D22" s="110" t="s">
        <v>104</v>
      </c>
      <c r="E22" s="110" t="s">
        <v>359</v>
      </c>
      <c r="F22" s="110" t="s">
        <v>251</v>
      </c>
      <c r="G22" s="110" t="s">
        <v>105</v>
      </c>
      <c r="H22" s="110" t="s">
        <v>202</v>
      </c>
      <c r="J22" s="78" t="s">
        <v>360</v>
      </c>
      <c r="K22" s="78" t="s">
        <v>248</v>
      </c>
      <c r="L22" s="78" t="s">
        <v>361</v>
      </c>
      <c r="M22" s="78" t="s">
        <v>247</v>
      </c>
      <c r="N22" s="78" t="s">
        <v>362</v>
      </c>
    </row>
    <row r="23" spans="1:14" x14ac:dyDescent="0.25">
      <c r="A23" s="132">
        <v>40556</v>
      </c>
      <c r="B23" s="3" t="s">
        <v>363</v>
      </c>
      <c r="C23" s="3" t="s">
        <v>248</v>
      </c>
      <c r="D23" s="3" t="s">
        <v>364</v>
      </c>
      <c r="E23" s="3" t="s">
        <v>365</v>
      </c>
      <c r="F23" s="3">
        <v>58</v>
      </c>
      <c r="G23" s="91">
        <v>1102</v>
      </c>
      <c r="H23" s="91">
        <v>464</v>
      </c>
      <c r="J23" s="78" t="s">
        <v>363</v>
      </c>
      <c r="K23" s="133"/>
      <c r="L23" s="133"/>
      <c r="M23" s="133"/>
      <c r="N23" s="133"/>
    </row>
    <row r="24" spans="1:14" x14ac:dyDescent="0.25">
      <c r="A24" s="132">
        <v>40558</v>
      </c>
      <c r="B24" s="3" t="s">
        <v>363</v>
      </c>
      <c r="C24" s="3" t="s">
        <v>361</v>
      </c>
      <c r="D24" s="3" t="s">
        <v>349</v>
      </c>
      <c r="E24" s="3" t="s">
        <v>366</v>
      </c>
      <c r="F24" s="3">
        <v>17</v>
      </c>
      <c r="G24" s="91">
        <v>323</v>
      </c>
      <c r="H24" s="91">
        <v>136</v>
      </c>
      <c r="J24" s="78" t="s">
        <v>367</v>
      </c>
      <c r="K24" s="133"/>
      <c r="L24" s="133"/>
      <c r="M24" s="133"/>
      <c r="N24" s="133"/>
    </row>
    <row r="25" spans="1:14" x14ac:dyDescent="0.25">
      <c r="A25" s="132">
        <v>40568</v>
      </c>
      <c r="B25" s="3" t="s">
        <v>363</v>
      </c>
      <c r="C25" s="3" t="s">
        <v>247</v>
      </c>
      <c r="D25" s="3" t="s">
        <v>364</v>
      </c>
      <c r="E25" s="3" t="s">
        <v>368</v>
      </c>
      <c r="F25" s="3">
        <v>59</v>
      </c>
      <c r="G25" s="91">
        <v>1121</v>
      </c>
      <c r="H25" s="91">
        <v>472</v>
      </c>
      <c r="J25" s="78" t="s">
        <v>369</v>
      </c>
      <c r="K25" s="133"/>
      <c r="L25" s="133"/>
      <c r="M25" s="133"/>
      <c r="N25" s="133"/>
    </row>
    <row r="26" spans="1:14" x14ac:dyDescent="0.25">
      <c r="A26" s="132">
        <v>40546</v>
      </c>
      <c r="B26" s="3" t="s">
        <v>367</v>
      </c>
      <c r="C26" s="3" t="s">
        <v>361</v>
      </c>
      <c r="D26" s="3" t="s">
        <v>246</v>
      </c>
      <c r="E26" s="3" t="s">
        <v>370</v>
      </c>
      <c r="F26" s="3">
        <v>55</v>
      </c>
      <c r="G26" s="91">
        <v>1265</v>
      </c>
      <c r="H26" s="91">
        <v>605</v>
      </c>
      <c r="J26" s="78" t="s">
        <v>371</v>
      </c>
      <c r="K26" s="133"/>
      <c r="L26" s="133"/>
      <c r="M26" s="133"/>
      <c r="N26" s="133"/>
    </row>
    <row r="27" spans="1:14" x14ac:dyDescent="0.25">
      <c r="A27" s="132">
        <v>40570</v>
      </c>
      <c r="B27" s="3" t="s">
        <v>369</v>
      </c>
      <c r="C27" s="3" t="s">
        <v>361</v>
      </c>
      <c r="D27" s="3" t="s">
        <v>364</v>
      </c>
      <c r="E27" s="3" t="s">
        <v>372</v>
      </c>
      <c r="F27" s="3">
        <v>44</v>
      </c>
      <c r="G27" s="91">
        <v>924</v>
      </c>
      <c r="H27" s="91">
        <v>407</v>
      </c>
      <c r="J27" s="78" t="s">
        <v>373</v>
      </c>
      <c r="K27" s="133"/>
      <c r="L27" s="133"/>
      <c r="M27" s="133"/>
      <c r="N27" s="133"/>
    </row>
    <row r="28" spans="1:14" x14ac:dyDescent="0.25">
      <c r="A28" s="132">
        <v>40557</v>
      </c>
      <c r="B28" s="3" t="s">
        <v>371</v>
      </c>
      <c r="C28" s="3" t="s">
        <v>361</v>
      </c>
      <c r="D28" s="3" t="s">
        <v>374</v>
      </c>
      <c r="E28" s="3" t="s">
        <v>375</v>
      </c>
      <c r="F28" s="3">
        <v>61</v>
      </c>
      <c r="G28" s="91">
        <v>1647</v>
      </c>
      <c r="H28" s="91">
        <v>884.5</v>
      </c>
    </row>
    <row r="29" spans="1:14" x14ac:dyDescent="0.25">
      <c r="A29" s="132">
        <v>40551</v>
      </c>
      <c r="B29" s="3" t="s">
        <v>371</v>
      </c>
      <c r="C29" s="3" t="s">
        <v>361</v>
      </c>
      <c r="D29" s="3" t="s">
        <v>364</v>
      </c>
      <c r="E29" s="3" t="s">
        <v>376</v>
      </c>
      <c r="F29" s="3">
        <v>50</v>
      </c>
      <c r="G29" s="91">
        <v>1350</v>
      </c>
      <c r="H29" s="91">
        <v>725</v>
      </c>
    </row>
    <row r="30" spans="1:14" x14ac:dyDescent="0.25">
      <c r="A30" s="132">
        <v>40559</v>
      </c>
      <c r="B30" s="3" t="s">
        <v>371</v>
      </c>
      <c r="C30" s="3" t="s">
        <v>248</v>
      </c>
      <c r="D30" s="3" t="s">
        <v>377</v>
      </c>
      <c r="E30" s="3" t="s">
        <v>378</v>
      </c>
      <c r="F30" s="3">
        <v>59</v>
      </c>
      <c r="G30" s="91">
        <v>1593</v>
      </c>
      <c r="H30" s="91">
        <v>855.5</v>
      </c>
    </row>
    <row r="31" spans="1:14" x14ac:dyDescent="0.25">
      <c r="A31" s="132">
        <v>40550</v>
      </c>
      <c r="B31" s="3" t="s">
        <v>371</v>
      </c>
      <c r="C31" s="3" t="s">
        <v>248</v>
      </c>
      <c r="D31" s="3" t="s">
        <v>349</v>
      </c>
      <c r="E31" s="3" t="s">
        <v>379</v>
      </c>
      <c r="F31" s="3">
        <v>36</v>
      </c>
      <c r="G31" s="91">
        <v>972</v>
      </c>
      <c r="H31" s="91">
        <v>522</v>
      </c>
    </row>
    <row r="32" spans="1:14" x14ac:dyDescent="0.25">
      <c r="A32" s="132">
        <v>40558</v>
      </c>
      <c r="B32" s="3" t="s">
        <v>369</v>
      </c>
      <c r="C32" s="3" t="s">
        <v>248</v>
      </c>
      <c r="D32" s="3" t="s">
        <v>246</v>
      </c>
      <c r="E32" s="3" t="s">
        <v>370</v>
      </c>
      <c r="F32" s="3">
        <v>14</v>
      </c>
      <c r="G32" s="91">
        <v>294</v>
      </c>
      <c r="H32" s="91">
        <v>129.5</v>
      </c>
    </row>
    <row r="33" spans="1:14" x14ac:dyDescent="0.25">
      <c r="A33" s="132">
        <v>40563</v>
      </c>
      <c r="B33" s="3" t="s">
        <v>371</v>
      </c>
      <c r="C33" s="3" t="s">
        <v>362</v>
      </c>
      <c r="D33" s="3" t="s">
        <v>377</v>
      </c>
      <c r="E33" s="3" t="s">
        <v>380</v>
      </c>
      <c r="F33" s="3">
        <v>38</v>
      </c>
      <c r="G33" s="91">
        <v>1026</v>
      </c>
      <c r="H33" s="91">
        <v>551</v>
      </c>
      <c r="J33" t="s">
        <v>341</v>
      </c>
    </row>
    <row r="34" spans="1:14" x14ac:dyDescent="0.25">
      <c r="A34" s="132">
        <v>40570</v>
      </c>
      <c r="B34" s="3" t="s">
        <v>367</v>
      </c>
      <c r="C34" s="3" t="s">
        <v>361</v>
      </c>
      <c r="D34" s="3" t="s">
        <v>349</v>
      </c>
      <c r="E34" s="3" t="s">
        <v>381</v>
      </c>
      <c r="F34" s="3">
        <v>63</v>
      </c>
      <c r="G34" s="91">
        <v>1449</v>
      </c>
      <c r="H34" s="91">
        <v>693</v>
      </c>
      <c r="J34" s="78" t="s">
        <v>360</v>
      </c>
      <c r="K34" s="78" t="s">
        <v>248</v>
      </c>
      <c r="L34" s="78" t="s">
        <v>361</v>
      </c>
      <c r="M34" s="78" t="s">
        <v>247</v>
      </c>
      <c r="N34" s="78" t="s">
        <v>362</v>
      </c>
    </row>
    <row r="35" spans="1:14" x14ac:dyDescent="0.25">
      <c r="A35" s="132">
        <v>40551</v>
      </c>
      <c r="B35" s="3" t="s">
        <v>363</v>
      </c>
      <c r="C35" s="3" t="s">
        <v>248</v>
      </c>
      <c r="D35" s="3" t="s">
        <v>382</v>
      </c>
      <c r="E35" s="3" t="s">
        <v>383</v>
      </c>
      <c r="F35" s="3">
        <v>9</v>
      </c>
      <c r="G35" s="91">
        <v>171</v>
      </c>
      <c r="H35" s="91">
        <v>72</v>
      </c>
      <c r="J35" s="78" t="s">
        <v>363</v>
      </c>
      <c r="K35" s="133">
        <f t="shared" ref="K35:N39" si="2">SUMPRODUCT($G$23:$G$127,--($B$23:$B$127=$J35),--($C$23:$C$127=K$34))</f>
        <v>4313</v>
      </c>
      <c r="L35" s="133">
        <f t="shared" si="2"/>
        <v>3933</v>
      </c>
      <c r="M35" s="133">
        <f t="shared" si="2"/>
        <v>5415</v>
      </c>
      <c r="N35" s="133">
        <f t="shared" si="2"/>
        <v>2812</v>
      </c>
    </row>
    <row r="36" spans="1:14" x14ac:dyDescent="0.25">
      <c r="A36" s="132">
        <v>40563</v>
      </c>
      <c r="B36" s="3" t="s">
        <v>367</v>
      </c>
      <c r="C36" s="3" t="s">
        <v>361</v>
      </c>
      <c r="D36" s="3" t="s">
        <v>246</v>
      </c>
      <c r="E36" s="3" t="s">
        <v>380</v>
      </c>
      <c r="F36" s="3">
        <v>65</v>
      </c>
      <c r="G36" s="91">
        <v>1495</v>
      </c>
      <c r="H36" s="91">
        <v>715</v>
      </c>
      <c r="J36" s="78" t="s">
        <v>367</v>
      </c>
      <c r="K36" s="133">
        <f t="shared" si="2"/>
        <v>2530</v>
      </c>
      <c r="L36" s="133">
        <f t="shared" si="2"/>
        <v>7981</v>
      </c>
      <c r="M36" s="133">
        <f t="shared" si="2"/>
        <v>4485</v>
      </c>
      <c r="N36" s="133">
        <f t="shared" si="2"/>
        <v>4876</v>
      </c>
    </row>
    <row r="37" spans="1:14" x14ac:dyDescent="0.25">
      <c r="A37" s="132">
        <v>40548</v>
      </c>
      <c r="B37" s="3" t="s">
        <v>371</v>
      </c>
      <c r="C37" s="3" t="s">
        <v>248</v>
      </c>
      <c r="D37" s="3" t="s">
        <v>377</v>
      </c>
      <c r="E37" s="3" t="s">
        <v>384</v>
      </c>
      <c r="F37" s="3">
        <v>35</v>
      </c>
      <c r="G37" s="91">
        <v>945</v>
      </c>
      <c r="H37" s="91">
        <v>507.5</v>
      </c>
      <c r="J37" s="78" t="s">
        <v>369</v>
      </c>
      <c r="K37" s="133">
        <f t="shared" si="2"/>
        <v>420</v>
      </c>
      <c r="L37" s="133">
        <f t="shared" si="2"/>
        <v>6216</v>
      </c>
      <c r="M37" s="133">
        <f t="shared" si="2"/>
        <v>2058</v>
      </c>
      <c r="N37" s="133">
        <f t="shared" si="2"/>
        <v>3486</v>
      </c>
    </row>
    <row r="38" spans="1:14" x14ac:dyDescent="0.25">
      <c r="A38" s="132">
        <v>40555</v>
      </c>
      <c r="B38" s="3" t="s">
        <v>363</v>
      </c>
      <c r="C38" s="3" t="s">
        <v>247</v>
      </c>
      <c r="D38" s="3" t="s">
        <v>246</v>
      </c>
      <c r="E38" s="3" t="s">
        <v>379</v>
      </c>
      <c r="F38" s="3">
        <v>37</v>
      </c>
      <c r="G38" s="91">
        <v>703</v>
      </c>
      <c r="H38" s="91">
        <v>296</v>
      </c>
      <c r="J38" s="78" t="s">
        <v>371</v>
      </c>
      <c r="K38" s="133">
        <f t="shared" si="2"/>
        <v>5805</v>
      </c>
      <c r="L38" s="133">
        <f t="shared" si="2"/>
        <v>7749</v>
      </c>
      <c r="M38" s="133">
        <f t="shared" si="2"/>
        <v>5454</v>
      </c>
      <c r="N38" s="133">
        <f t="shared" si="2"/>
        <v>3078</v>
      </c>
    </row>
    <row r="39" spans="1:14" x14ac:dyDescent="0.25">
      <c r="A39" s="132">
        <v>40547</v>
      </c>
      <c r="B39" s="3" t="s">
        <v>363</v>
      </c>
      <c r="C39" s="3" t="s">
        <v>248</v>
      </c>
      <c r="D39" s="3" t="s">
        <v>377</v>
      </c>
      <c r="E39" s="3" t="s">
        <v>385</v>
      </c>
      <c r="F39" s="3">
        <v>55</v>
      </c>
      <c r="G39" s="91">
        <v>1045</v>
      </c>
      <c r="H39" s="91">
        <v>440</v>
      </c>
      <c r="J39" s="78" t="s">
        <v>373</v>
      </c>
      <c r="K39" s="133">
        <f t="shared" si="2"/>
        <v>3586</v>
      </c>
      <c r="L39" s="133">
        <f t="shared" si="2"/>
        <v>1276</v>
      </c>
      <c r="M39" s="133">
        <f t="shared" si="2"/>
        <v>4400</v>
      </c>
      <c r="N39" s="133">
        <f t="shared" si="2"/>
        <v>2090</v>
      </c>
    </row>
    <row r="40" spans="1:14" x14ac:dyDescent="0.25">
      <c r="A40" s="132">
        <v>40571</v>
      </c>
      <c r="B40" s="3" t="s">
        <v>363</v>
      </c>
      <c r="C40" s="3" t="s">
        <v>362</v>
      </c>
      <c r="D40" s="3" t="s">
        <v>374</v>
      </c>
      <c r="E40" s="3" t="s">
        <v>365</v>
      </c>
      <c r="F40" s="3">
        <v>33</v>
      </c>
      <c r="G40" s="91">
        <v>627</v>
      </c>
      <c r="H40" s="91">
        <v>264</v>
      </c>
    </row>
    <row r="41" spans="1:14" x14ac:dyDescent="0.25">
      <c r="A41" s="132">
        <v>40547</v>
      </c>
      <c r="B41" s="3" t="s">
        <v>367</v>
      </c>
      <c r="C41" s="3" t="s">
        <v>248</v>
      </c>
      <c r="D41" s="3" t="s">
        <v>246</v>
      </c>
      <c r="E41" s="3" t="s">
        <v>386</v>
      </c>
      <c r="F41" s="3">
        <v>28</v>
      </c>
      <c r="G41" s="91">
        <v>644</v>
      </c>
      <c r="H41" s="91">
        <v>308</v>
      </c>
    </row>
    <row r="42" spans="1:14" x14ac:dyDescent="0.25">
      <c r="A42" s="132">
        <v>40561</v>
      </c>
      <c r="B42" s="3" t="s">
        <v>371</v>
      </c>
      <c r="C42" s="3" t="s">
        <v>248</v>
      </c>
      <c r="D42" s="3" t="s">
        <v>349</v>
      </c>
      <c r="E42" s="3" t="s">
        <v>372</v>
      </c>
      <c r="F42" s="3">
        <v>10</v>
      </c>
      <c r="G42" s="91">
        <v>270</v>
      </c>
      <c r="H42" s="91">
        <v>145</v>
      </c>
    </row>
    <row r="43" spans="1:14" x14ac:dyDescent="0.25">
      <c r="A43" s="132">
        <v>40564</v>
      </c>
      <c r="B43" s="3" t="s">
        <v>373</v>
      </c>
      <c r="C43" s="3" t="s">
        <v>248</v>
      </c>
      <c r="D43" s="3" t="s">
        <v>246</v>
      </c>
      <c r="E43" s="3" t="s">
        <v>387</v>
      </c>
      <c r="F43" s="3">
        <v>30</v>
      </c>
      <c r="G43" s="91">
        <v>660</v>
      </c>
      <c r="H43" s="91">
        <v>300</v>
      </c>
    </row>
    <row r="44" spans="1:14" x14ac:dyDescent="0.25">
      <c r="A44" s="132">
        <v>40544</v>
      </c>
      <c r="B44" s="3" t="s">
        <v>363</v>
      </c>
      <c r="C44" s="3" t="s">
        <v>247</v>
      </c>
      <c r="D44" s="3" t="s">
        <v>377</v>
      </c>
      <c r="E44" s="3" t="s">
        <v>375</v>
      </c>
      <c r="F44" s="3">
        <v>26</v>
      </c>
      <c r="G44" s="91">
        <v>494</v>
      </c>
      <c r="H44" s="91">
        <v>208</v>
      </c>
    </row>
    <row r="45" spans="1:14" x14ac:dyDescent="0.25">
      <c r="A45" s="132">
        <v>40566</v>
      </c>
      <c r="B45" s="3" t="s">
        <v>369</v>
      </c>
      <c r="C45" s="3" t="s">
        <v>248</v>
      </c>
      <c r="D45" s="3" t="s">
        <v>246</v>
      </c>
      <c r="E45" s="3" t="s">
        <v>388</v>
      </c>
      <c r="F45" s="3">
        <v>6</v>
      </c>
      <c r="G45" s="91">
        <v>126</v>
      </c>
      <c r="H45" s="91">
        <v>55.5</v>
      </c>
    </row>
    <row r="46" spans="1:14" x14ac:dyDescent="0.25">
      <c r="A46" s="132">
        <v>40568</v>
      </c>
      <c r="B46" s="3" t="s">
        <v>371</v>
      </c>
      <c r="C46" s="3" t="s">
        <v>361</v>
      </c>
      <c r="D46" s="3" t="s">
        <v>364</v>
      </c>
      <c r="E46" s="3" t="s">
        <v>379</v>
      </c>
      <c r="F46" s="3">
        <v>41</v>
      </c>
      <c r="G46" s="91">
        <v>1107</v>
      </c>
      <c r="H46" s="91">
        <v>594.5</v>
      </c>
    </row>
    <row r="47" spans="1:14" x14ac:dyDescent="0.25">
      <c r="A47" s="132">
        <v>40562</v>
      </c>
      <c r="B47" s="3" t="s">
        <v>371</v>
      </c>
      <c r="C47" s="3" t="s">
        <v>247</v>
      </c>
      <c r="D47" s="3" t="s">
        <v>374</v>
      </c>
      <c r="E47" s="3" t="s">
        <v>389</v>
      </c>
      <c r="F47" s="3">
        <v>26</v>
      </c>
      <c r="G47" s="91">
        <v>702</v>
      </c>
      <c r="H47" s="91">
        <v>377</v>
      </c>
    </row>
    <row r="48" spans="1:14" x14ac:dyDescent="0.25">
      <c r="A48" s="132">
        <v>40572</v>
      </c>
      <c r="B48" s="3" t="s">
        <v>363</v>
      </c>
      <c r="C48" s="3" t="s">
        <v>361</v>
      </c>
      <c r="D48" s="3" t="s">
        <v>382</v>
      </c>
      <c r="E48" s="3" t="s">
        <v>385</v>
      </c>
      <c r="F48" s="3">
        <v>45</v>
      </c>
      <c r="G48" s="91">
        <v>855</v>
      </c>
      <c r="H48" s="91">
        <v>360</v>
      </c>
    </row>
    <row r="49" spans="1:8" x14ac:dyDescent="0.25">
      <c r="A49" s="132">
        <v>40572</v>
      </c>
      <c r="B49" s="3" t="s">
        <v>369</v>
      </c>
      <c r="C49" s="3" t="s">
        <v>362</v>
      </c>
      <c r="D49" s="3" t="s">
        <v>382</v>
      </c>
      <c r="E49" s="3" t="s">
        <v>390</v>
      </c>
      <c r="F49" s="3">
        <v>15</v>
      </c>
      <c r="G49" s="91">
        <v>315</v>
      </c>
      <c r="H49" s="91">
        <v>138.75</v>
      </c>
    </row>
    <row r="50" spans="1:8" x14ac:dyDescent="0.25">
      <c r="A50" s="132">
        <v>40565</v>
      </c>
      <c r="B50" s="3" t="s">
        <v>367</v>
      </c>
      <c r="C50" s="3" t="s">
        <v>247</v>
      </c>
      <c r="D50" s="3" t="s">
        <v>246</v>
      </c>
      <c r="E50" s="3" t="s">
        <v>365</v>
      </c>
      <c r="F50" s="3">
        <v>65</v>
      </c>
      <c r="G50" s="91">
        <v>1495</v>
      </c>
      <c r="H50" s="91">
        <v>715</v>
      </c>
    </row>
    <row r="51" spans="1:8" x14ac:dyDescent="0.25">
      <c r="A51" s="132">
        <v>40573</v>
      </c>
      <c r="B51" s="3" t="s">
        <v>371</v>
      </c>
      <c r="C51" s="3" t="s">
        <v>248</v>
      </c>
      <c r="D51" s="3" t="s">
        <v>364</v>
      </c>
      <c r="E51" s="3" t="s">
        <v>389</v>
      </c>
      <c r="F51" s="3">
        <v>14</v>
      </c>
      <c r="G51" s="91">
        <v>378</v>
      </c>
      <c r="H51" s="91">
        <v>203</v>
      </c>
    </row>
    <row r="52" spans="1:8" x14ac:dyDescent="0.25">
      <c r="A52" s="132">
        <v>40561</v>
      </c>
      <c r="B52" s="3" t="s">
        <v>373</v>
      </c>
      <c r="C52" s="3" t="s">
        <v>247</v>
      </c>
      <c r="D52" s="3" t="s">
        <v>246</v>
      </c>
      <c r="E52" s="3" t="s">
        <v>366</v>
      </c>
      <c r="F52" s="3">
        <v>56</v>
      </c>
      <c r="G52" s="91">
        <v>1232</v>
      </c>
      <c r="H52" s="91">
        <v>560</v>
      </c>
    </row>
    <row r="53" spans="1:8" x14ac:dyDescent="0.25">
      <c r="A53" s="132">
        <v>40544</v>
      </c>
      <c r="B53" s="3" t="s">
        <v>363</v>
      </c>
      <c r="C53" s="3" t="s">
        <v>247</v>
      </c>
      <c r="D53" s="3" t="s">
        <v>364</v>
      </c>
      <c r="E53" s="3" t="s">
        <v>378</v>
      </c>
      <c r="F53" s="3">
        <v>11</v>
      </c>
      <c r="G53" s="91">
        <v>209</v>
      </c>
      <c r="H53" s="91">
        <v>88</v>
      </c>
    </row>
    <row r="54" spans="1:8" x14ac:dyDescent="0.25">
      <c r="A54" s="132">
        <v>40561</v>
      </c>
      <c r="B54" s="3" t="s">
        <v>371</v>
      </c>
      <c r="C54" s="3" t="s">
        <v>247</v>
      </c>
      <c r="D54" s="3" t="s">
        <v>374</v>
      </c>
      <c r="E54" s="3" t="s">
        <v>391</v>
      </c>
      <c r="F54" s="3">
        <v>40</v>
      </c>
      <c r="G54" s="91">
        <v>1080</v>
      </c>
      <c r="H54" s="91">
        <v>580</v>
      </c>
    </row>
    <row r="55" spans="1:8" x14ac:dyDescent="0.25">
      <c r="A55" s="132">
        <v>40564</v>
      </c>
      <c r="B55" s="3" t="s">
        <v>371</v>
      </c>
      <c r="C55" s="3" t="s">
        <v>361</v>
      </c>
      <c r="D55" s="3" t="s">
        <v>349</v>
      </c>
      <c r="E55" s="3" t="s">
        <v>365</v>
      </c>
      <c r="F55" s="3">
        <v>58</v>
      </c>
      <c r="G55" s="91">
        <v>1566</v>
      </c>
      <c r="H55" s="91">
        <v>841</v>
      </c>
    </row>
    <row r="56" spans="1:8" x14ac:dyDescent="0.25">
      <c r="A56" s="132">
        <v>40555</v>
      </c>
      <c r="B56" s="3" t="s">
        <v>367</v>
      </c>
      <c r="C56" s="3" t="s">
        <v>361</v>
      </c>
      <c r="D56" s="3" t="s">
        <v>246</v>
      </c>
      <c r="E56" s="3" t="s">
        <v>392</v>
      </c>
      <c r="F56" s="3">
        <v>40</v>
      </c>
      <c r="G56" s="91">
        <v>920</v>
      </c>
      <c r="H56" s="91">
        <v>440</v>
      </c>
    </row>
    <row r="57" spans="1:8" x14ac:dyDescent="0.25">
      <c r="A57" s="132">
        <v>40559</v>
      </c>
      <c r="B57" s="3" t="s">
        <v>371</v>
      </c>
      <c r="C57" s="3" t="s">
        <v>247</v>
      </c>
      <c r="D57" s="3" t="s">
        <v>246</v>
      </c>
      <c r="E57" s="3" t="s">
        <v>393</v>
      </c>
      <c r="F57" s="3">
        <v>40</v>
      </c>
      <c r="G57" s="91">
        <v>1080</v>
      </c>
      <c r="H57" s="91">
        <v>580</v>
      </c>
    </row>
    <row r="58" spans="1:8" x14ac:dyDescent="0.25">
      <c r="A58" s="132">
        <v>40548</v>
      </c>
      <c r="B58" s="3" t="s">
        <v>367</v>
      </c>
      <c r="C58" s="3" t="s">
        <v>362</v>
      </c>
      <c r="D58" s="3" t="s">
        <v>364</v>
      </c>
      <c r="E58" s="3" t="s">
        <v>378</v>
      </c>
      <c r="F58" s="3">
        <v>11</v>
      </c>
      <c r="G58" s="91">
        <v>253</v>
      </c>
      <c r="H58" s="91">
        <v>121</v>
      </c>
    </row>
    <row r="59" spans="1:8" x14ac:dyDescent="0.25">
      <c r="A59" s="132">
        <v>40573</v>
      </c>
      <c r="B59" s="3" t="s">
        <v>373</v>
      </c>
      <c r="C59" s="3" t="s">
        <v>247</v>
      </c>
      <c r="D59" s="3" t="s">
        <v>364</v>
      </c>
      <c r="E59" s="3" t="s">
        <v>394</v>
      </c>
      <c r="F59" s="3">
        <v>17</v>
      </c>
      <c r="G59" s="91">
        <v>374</v>
      </c>
      <c r="H59" s="91">
        <v>170</v>
      </c>
    </row>
    <row r="60" spans="1:8" x14ac:dyDescent="0.25">
      <c r="A60" s="132">
        <v>40558</v>
      </c>
      <c r="B60" s="3" t="s">
        <v>371</v>
      </c>
      <c r="C60" s="3" t="s">
        <v>248</v>
      </c>
      <c r="D60" s="3" t="s">
        <v>382</v>
      </c>
      <c r="E60" s="3" t="s">
        <v>392</v>
      </c>
      <c r="F60" s="3">
        <v>19</v>
      </c>
      <c r="G60" s="91">
        <v>513</v>
      </c>
      <c r="H60" s="91">
        <v>275.5</v>
      </c>
    </row>
    <row r="61" spans="1:8" x14ac:dyDescent="0.25">
      <c r="A61" s="132">
        <v>40573</v>
      </c>
      <c r="B61" s="3" t="s">
        <v>371</v>
      </c>
      <c r="C61" s="3" t="s">
        <v>361</v>
      </c>
      <c r="D61" s="3" t="s">
        <v>382</v>
      </c>
      <c r="E61" s="3" t="s">
        <v>379</v>
      </c>
      <c r="F61" s="3">
        <v>15</v>
      </c>
      <c r="G61" s="91">
        <v>405</v>
      </c>
      <c r="H61" s="91">
        <v>217.5</v>
      </c>
    </row>
    <row r="62" spans="1:8" x14ac:dyDescent="0.25">
      <c r="A62" s="132">
        <v>40559</v>
      </c>
      <c r="B62" s="3" t="s">
        <v>363</v>
      </c>
      <c r="C62" s="3" t="s">
        <v>248</v>
      </c>
      <c r="D62" s="3" t="s">
        <v>382</v>
      </c>
      <c r="E62" s="3" t="s">
        <v>386</v>
      </c>
      <c r="F62" s="3">
        <v>57</v>
      </c>
      <c r="G62" s="91">
        <v>1083</v>
      </c>
      <c r="H62" s="91">
        <v>456</v>
      </c>
    </row>
    <row r="63" spans="1:8" x14ac:dyDescent="0.25">
      <c r="A63" s="132">
        <v>40567</v>
      </c>
      <c r="B63" s="3" t="s">
        <v>369</v>
      </c>
      <c r="C63" s="3" t="s">
        <v>361</v>
      </c>
      <c r="D63" s="3" t="s">
        <v>364</v>
      </c>
      <c r="E63" s="3" t="s">
        <v>386</v>
      </c>
      <c r="F63" s="3">
        <v>17</v>
      </c>
      <c r="G63" s="91">
        <v>357</v>
      </c>
      <c r="H63" s="91">
        <v>157.25</v>
      </c>
    </row>
    <row r="64" spans="1:8" x14ac:dyDescent="0.25">
      <c r="A64" s="132">
        <v>40569</v>
      </c>
      <c r="B64" s="3" t="s">
        <v>367</v>
      </c>
      <c r="C64" s="3" t="s">
        <v>362</v>
      </c>
      <c r="D64" s="3" t="s">
        <v>374</v>
      </c>
      <c r="E64" s="3" t="s">
        <v>375</v>
      </c>
      <c r="F64" s="3">
        <v>31</v>
      </c>
      <c r="G64" s="91">
        <v>713</v>
      </c>
      <c r="H64" s="91">
        <v>341</v>
      </c>
    </row>
    <row r="65" spans="1:8" x14ac:dyDescent="0.25">
      <c r="A65" s="132">
        <v>40554</v>
      </c>
      <c r="B65" s="3" t="s">
        <v>369</v>
      </c>
      <c r="C65" s="3" t="s">
        <v>362</v>
      </c>
      <c r="D65" s="3" t="s">
        <v>382</v>
      </c>
      <c r="E65" s="3" t="s">
        <v>395</v>
      </c>
      <c r="F65" s="3">
        <v>28</v>
      </c>
      <c r="G65" s="91">
        <v>588</v>
      </c>
      <c r="H65" s="91">
        <v>259</v>
      </c>
    </row>
    <row r="66" spans="1:8" x14ac:dyDescent="0.25">
      <c r="A66" s="132">
        <v>40549</v>
      </c>
      <c r="B66" s="3" t="s">
        <v>373</v>
      </c>
      <c r="C66" s="3" t="s">
        <v>361</v>
      </c>
      <c r="D66" s="3" t="s">
        <v>374</v>
      </c>
      <c r="E66" s="3" t="s">
        <v>396</v>
      </c>
      <c r="F66" s="3">
        <v>11</v>
      </c>
      <c r="G66" s="91">
        <v>242</v>
      </c>
      <c r="H66" s="91">
        <v>110</v>
      </c>
    </row>
    <row r="67" spans="1:8" x14ac:dyDescent="0.25">
      <c r="A67" s="132">
        <v>40552</v>
      </c>
      <c r="B67" s="3" t="s">
        <v>373</v>
      </c>
      <c r="C67" s="3" t="s">
        <v>248</v>
      </c>
      <c r="D67" s="3" t="s">
        <v>374</v>
      </c>
      <c r="E67" s="3" t="s">
        <v>379</v>
      </c>
      <c r="F67" s="3">
        <v>20</v>
      </c>
      <c r="G67" s="91">
        <v>440</v>
      </c>
      <c r="H67" s="91">
        <v>200</v>
      </c>
    </row>
    <row r="68" spans="1:8" x14ac:dyDescent="0.25">
      <c r="A68" s="132">
        <v>40559</v>
      </c>
      <c r="B68" s="3" t="s">
        <v>371</v>
      </c>
      <c r="C68" s="3" t="s">
        <v>248</v>
      </c>
      <c r="D68" s="3" t="s">
        <v>349</v>
      </c>
      <c r="E68" s="3" t="s">
        <v>397</v>
      </c>
      <c r="F68" s="3">
        <v>8</v>
      </c>
      <c r="G68" s="91">
        <v>216</v>
      </c>
      <c r="H68" s="91">
        <v>116</v>
      </c>
    </row>
    <row r="69" spans="1:8" x14ac:dyDescent="0.25">
      <c r="A69" s="132">
        <v>40555</v>
      </c>
      <c r="B69" s="3" t="s">
        <v>371</v>
      </c>
      <c r="C69" s="3" t="s">
        <v>247</v>
      </c>
      <c r="D69" s="3" t="s">
        <v>364</v>
      </c>
      <c r="E69" s="3" t="s">
        <v>379</v>
      </c>
      <c r="F69" s="3">
        <v>34</v>
      </c>
      <c r="G69" s="91">
        <v>918</v>
      </c>
      <c r="H69" s="91">
        <v>493</v>
      </c>
    </row>
    <row r="70" spans="1:8" x14ac:dyDescent="0.25">
      <c r="A70" s="132">
        <v>40557</v>
      </c>
      <c r="B70" s="3" t="s">
        <v>367</v>
      </c>
      <c r="C70" s="3" t="s">
        <v>361</v>
      </c>
      <c r="D70" s="3" t="s">
        <v>349</v>
      </c>
      <c r="E70" s="3" t="s">
        <v>396</v>
      </c>
      <c r="F70" s="3">
        <v>34</v>
      </c>
      <c r="G70" s="91">
        <v>782</v>
      </c>
      <c r="H70" s="91">
        <v>374</v>
      </c>
    </row>
    <row r="71" spans="1:8" x14ac:dyDescent="0.25">
      <c r="A71" s="132">
        <v>40545</v>
      </c>
      <c r="B71" s="3" t="s">
        <v>363</v>
      </c>
      <c r="C71" s="3" t="s">
        <v>247</v>
      </c>
      <c r="D71" s="3" t="s">
        <v>364</v>
      </c>
      <c r="E71" s="3" t="s">
        <v>398</v>
      </c>
      <c r="F71" s="3">
        <v>16</v>
      </c>
      <c r="G71" s="91">
        <v>304</v>
      </c>
      <c r="H71" s="91">
        <v>128</v>
      </c>
    </row>
    <row r="72" spans="1:8" x14ac:dyDescent="0.25">
      <c r="A72" s="132">
        <v>40553</v>
      </c>
      <c r="B72" s="3" t="s">
        <v>367</v>
      </c>
      <c r="C72" s="3" t="s">
        <v>248</v>
      </c>
      <c r="D72" s="3" t="s">
        <v>246</v>
      </c>
      <c r="E72" s="3" t="s">
        <v>375</v>
      </c>
      <c r="F72" s="3">
        <v>32</v>
      </c>
      <c r="G72" s="91">
        <v>736</v>
      </c>
      <c r="H72" s="91">
        <v>352</v>
      </c>
    </row>
    <row r="73" spans="1:8" x14ac:dyDescent="0.25">
      <c r="A73" s="132">
        <v>40571</v>
      </c>
      <c r="B73" s="3" t="s">
        <v>369</v>
      </c>
      <c r="C73" s="3" t="s">
        <v>361</v>
      </c>
      <c r="D73" s="3" t="s">
        <v>349</v>
      </c>
      <c r="E73" s="3" t="s">
        <v>387</v>
      </c>
      <c r="F73" s="3">
        <v>61</v>
      </c>
      <c r="G73" s="91">
        <v>1281</v>
      </c>
      <c r="H73" s="91">
        <v>564.25</v>
      </c>
    </row>
    <row r="74" spans="1:8" x14ac:dyDescent="0.25">
      <c r="A74" s="132">
        <v>40554</v>
      </c>
      <c r="B74" s="3" t="s">
        <v>369</v>
      </c>
      <c r="C74" s="3" t="s">
        <v>362</v>
      </c>
      <c r="D74" s="3" t="s">
        <v>364</v>
      </c>
      <c r="E74" s="3" t="s">
        <v>375</v>
      </c>
      <c r="F74" s="3">
        <v>59</v>
      </c>
      <c r="G74" s="91">
        <v>1239</v>
      </c>
      <c r="H74" s="91">
        <v>545.75</v>
      </c>
    </row>
    <row r="75" spans="1:8" x14ac:dyDescent="0.25">
      <c r="A75" s="132">
        <v>40546</v>
      </c>
      <c r="B75" s="3" t="s">
        <v>373</v>
      </c>
      <c r="C75" s="3" t="s">
        <v>362</v>
      </c>
      <c r="D75" s="3" t="s">
        <v>246</v>
      </c>
      <c r="E75" s="3" t="s">
        <v>375</v>
      </c>
      <c r="F75" s="3">
        <v>30</v>
      </c>
      <c r="G75" s="91">
        <v>660</v>
      </c>
      <c r="H75" s="91">
        <v>300</v>
      </c>
    </row>
    <row r="76" spans="1:8" x14ac:dyDescent="0.25">
      <c r="A76" s="132">
        <v>40558</v>
      </c>
      <c r="B76" s="3" t="s">
        <v>373</v>
      </c>
      <c r="C76" s="3" t="s">
        <v>361</v>
      </c>
      <c r="D76" s="3" t="s">
        <v>377</v>
      </c>
      <c r="E76" s="3" t="s">
        <v>381</v>
      </c>
      <c r="F76" s="3">
        <v>22</v>
      </c>
      <c r="G76" s="91">
        <v>484</v>
      </c>
      <c r="H76" s="91">
        <v>220</v>
      </c>
    </row>
    <row r="77" spans="1:8" x14ac:dyDescent="0.25">
      <c r="A77" s="132">
        <v>40557</v>
      </c>
      <c r="B77" s="3" t="s">
        <v>367</v>
      </c>
      <c r="C77" s="3" t="s">
        <v>247</v>
      </c>
      <c r="D77" s="3" t="s">
        <v>364</v>
      </c>
      <c r="E77" s="3" t="s">
        <v>376</v>
      </c>
      <c r="F77" s="3">
        <v>6</v>
      </c>
      <c r="G77" s="91">
        <v>138</v>
      </c>
      <c r="H77" s="91">
        <v>66</v>
      </c>
    </row>
    <row r="78" spans="1:8" x14ac:dyDescent="0.25">
      <c r="A78" s="132">
        <v>40571</v>
      </c>
      <c r="B78" s="3" t="s">
        <v>371</v>
      </c>
      <c r="C78" s="3" t="s">
        <v>361</v>
      </c>
      <c r="D78" s="3" t="s">
        <v>374</v>
      </c>
      <c r="E78" s="3" t="s">
        <v>399</v>
      </c>
      <c r="F78" s="3">
        <v>16</v>
      </c>
      <c r="G78" s="91">
        <v>432</v>
      </c>
      <c r="H78" s="91">
        <v>232</v>
      </c>
    </row>
    <row r="79" spans="1:8" x14ac:dyDescent="0.25">
      <c r="A79" s="132">
        <v>40547</v>
      </c>
      <c r="B79" s="3" t="s">
        <v>371</v>
      </c>
      <c r="C79" s="3" t="s">
        <v>248</v>
      </c>
      <c r="D79" s="3" t="s">
        <v>349</v>
      </c>
      <c r="E79" s="3" t="s">
        <v>395</v>
      </c>
      <c r="F79" s="3">
        <v>19</v>
      </c>
      <c r="G79" s="91">
        <v>513</v>
      </c>
      <c r="H79" s="91">
        <v>275.5</v>
      </c>
    </row>
    <row r="80" spans="1:8" x14ac:dyDescent="0.25">
      <c r="A80" s="132">
        <v>40556</v>
      </c>
      <c r="B80" s="3" t="s">
        <v>367</v>
      </c>
      <c r="C80" s="3" t="s">
        <v>362</v>
      </c>
      <c r="D80" s="3" t="s">
        <v>246</v>
      </c>
      <c r="E80" s="3" t="s">
        <v>391</v>
      </c>
      <c r="F80" s="3">
        <v>30</v>
      </c>
      <c r="G80" s="91">
        <v>690</v>
      </c>
      <c r="H80" s="91">
        <v>330</v>
      </c>
    </row>
    <row r="81" spans="1:8" x14ac:dyDescent="0.25">
      <c r="A81" s="132">
        <v>40555</v>
      </c>
      <c r="B81" s="3" t="s">
        <v>363</v>
      </c>
      <c r="C81" s="3" t="s">
        <v>247</v>
      </c>
      <c r="D81" s="3" t="s">
        <v>377</v>
      </c>
      <c r="E81" s="3" t="s">
        <v>372</v>
      </c>
      <c r="F81" s="3">
        <v>62</v>
      </c>
      <c r="G81" s="91">
        <v>1178</v>
      </c>
      <c r="H81" s="91">
        <v>496</v>
      </c>
    </row>
    <row r="82" spans="1:8" x14ac:dyDescent="0.25">
      <c r="A82" s="132">
        <v>40567</v>
      </c>
      <c r="B82" s="3" t="s">
        <v>373</v>
      </c>
      <c r="C82" s="3" t="s">
        <v>361</v>
      </c>
      <c r="D82" s="3" t="s">
        <v>364</v>
      </c>
      <c r="E82" s="3" t="s">
        <v>379</v>
      </c>
      <c r="F82" s="3">
        <v>25</v>
      </c>
      <c r="G82" s="91">
        <v>550</v>
      </c>
      <c r="H82" s="91">
        <v>250</v>
      </c>
    </row>
    <row r="83" spans="1:8" x14ac:dyDescent="0.25">
      <c r="A83" s="132">
        <v>40557</v>
      </c>
      <c r="B83" s="3" t="s">
        <v>363</v>
      </c>
      <c r="C83" s="3" t="s">
        <v>247</v>
      </c>
      <c r="D83" s="3" t="s">
        <v>349</v>
      </c>
      <c r="E83" s="3" t="s">
        <v>378</v>
      </c>
      <c r="F83" s="3">
        <v>13</v>
      </c>
      <c r="G83" s="91">
        <v>247</v>
      </c>
      <c r="H83" s="91">
        <v>104</v>
      </c>
    </row>
    <row r="84" spans="1:8" x14ac:dyDescent="0.25">
      <c r="A84" s="132">
        <v>40549</v>
      </c>
      <c r="B84" s="3" t="s">
        <v>369</v>
      </c>
      <c r="C84" s="3" t="s">
        <v>361</v>
      </c>
      <c r="D84" s="3" t="s">
        <v>246</v>
      </c>
      <c r="E84" s="3" t="s">
        <v>388</v>
      </c>
      <c r="F84" s="3">
        <v>24</v>
      </c>
      <c r="G84" s="91">
        <v>504</v>
      </c>
      <c r="H84" s="91">
        <v>222</v>
      </c>
    </row>
    <row r="85" spans="1:8" x14ac:dyDescent="0.25">
      <c r="A85" s="132">
        <v>40562</v>
      </c>
      <c r="B85" s="3" t="s">
        <v>367</v>
      </c>
      <c r="C85" s="3" t="s">
        <v>362</v>
      </c>
      <c r="D85" s="3" t="s">
        <v>377</v>
      </c>
      <c r="E85" s="3" t="s">
        <v>400</v>
      </c>
      <c r="F85" s="3">
        <v>51</v>
      </c>
      <c r="G85" s="91">
        <v>1173</v>
      </c>
      <c r="H85" s="91">
        <v>561</v>
      </c>
    </row>
    <row r="86" spans="1:8" x14ac:dyDescent="0.25">
      <c r="A86" s="132">
        <v>40570</v>
      </c>
      <c r="B86" s="3" t="s">
        <v>363</v>
      </c>
      <c r="C86" s="3" t="s">
        <v>248</v>
      </c>
      <c r="D86" s="3" t="s">
        <v>364</v>
      </c>
      <c r="E86" s="3" t="s">
        <v>390</v>
      </c>
      <c r="F86" s="3">
        <v>23</v>
      </c>
      <c r="G86" s="91">
        <v>437</v>
      </c>
      <c r="H86" s="91">
        <v>184</v>
      </c>
    </row>
    <row r="87" spans="1:8" x14ac:dyDescent="0.25">
      <c r="A87" s="132">
        <v>40564</v>
      </c>
      <c r="B87" s="3" t="s">
        <v>367</v>
      </c>
      <c r="C87" s="3" t="s">
        <v>247</v>
      </c>
      <c r="D87" s="3" t="s">
        <v>377</v>
      </c>
      <c r="E87" s="3" t="s">
        <v>386</v>
      </c>
      <c r="F87" s="3">
        <v>41</v>
      </c>
      <c r="G87" s="91">
        <v>943</v>
      </c>
      <c r="H87" s="91">
        <v>451</v>
      </c>
    </row>
    <row r="88" spans="1:8" x14ac:dyDescent="0.25">
      <c r="A88" s="132">
        <v>40547</v>
      </c>
      <c r="B88" s="3" t="s">
        <v>363</v>
      </c>
      <c r="C88" s="3" t="s">
        <v>247</v>
      </c>
      <c r="D88" s="3" t="s">
        <v>377</v>
      </c>
      <c r="E88" s="3" t="s">
        <v>378</v>
      </c>
      <c r="F88" s="3">
        <v>11</v>
      </c>
      <c r="G88" s="91">
        <v>209</v>
      </c>
      <c r="H88" s="91">
        <v>88</v>
      </c>
    </row>
    <row r="89" spans="1:8" x14ac:dyDescent="0.25">
      <c r="A89" s="132">
        <v>40547</v>
      </c>
      <c r="B89" s="3" t="s">
        <v>371</v>
      </c>
      <c r="C89" s="3" t="s">
        <v>361</v>
      </c>
      <c r="D89" s="3" t="s">
        <v>364</v>
      </c>
      <c r="E89" s="3" t="s">
        <v>396</v>
      </c>
      <c r="F89" s="3">
        <v>19</v>
      </c>
      <c r="G89" s="91">
        <v>513</v>
      </c>
      <c r="H89" s="91">
        <v>275.5</v>
      </c>
    </row>
    <row r="90" spans="1:8" x14ac:dyDescent="0.25">
      <c r="A90" s="132">
        <v>40570</v>
      </c>
      <c r="B90" s="3" t="s">
        <v>373</v>
      </c>
      <c r="C90" s="3" t="s">
        <v>247</v>
      </c>
      <c r="D90" s="3" t="s">
        <v>374</v>
      </c>
      <c r="E90" s="3" t="s">
        <v>396</v>
      </c>
      <c r="F90" s="3">
        <v>62</v>
      </c>
      <c r="G90" s="91">
        <v>1364</v>
      </c>
      <c r="H90" s="91">
        <v>620</v>
      </c>
    </row>
    <row r="91" spans="1:8" x14ac:dyDescent="0.25">
      <c r="A91" s="132">
        <v>40562</v>
      </c>
      <c r="B91" s="3" t="s">
        <v>363</v>
      </c>
      <c r="C91" s="3" t="s">
        <v>362</v>
      </c>
      <c r="D91" s="3" t="s">
        <v>377</v>
      </c>
      <c r="E91" s="3" t="s">
        <v>390</v>
      </c>
      <c r="F91" s="3">
        <v>48</v>
      </c>
      <c r="G91" s="91">
        <v>912</v>
      </c>
      <c r="H91" s="91">
        <v>384</v>
      </c>
    </row>
    <row r="92" spans="1:8" x14ac:dyDescent="0.25">
      <c r="A92" s="132">
        <v>40554</v>
      </c>
      <c r="B92" s="3" t="s">
        <v>373</v>
      </c>
      <c r="C92" s="3" t="s">
        <v>248</v>
      </c>
      <c r="D92" s="3" t="s">
        <v>364</v>
      </c>
      <c r="E92" s="3" t="s">
        <v>366</v>
      </c>
      <c r="F92" s="3">
        <v>34</v>
      </c>
      <c r="G92" s="91">
        <v>748</v>
      </c>
      <c r="H92" s="91">
        <v>340</v>
      </c>
    </row>
    <row r="93" spans="1:8" x14ac:dyDescent="0.25">
      <c r="A93" s="132">
        <v>40544</v>
      </c>
      <c r="B93" s="3" t="s">
        <v>367</v>
      </c>
      <c r="C93" s="3" t="s">
        <v>361</v>
      </c>
      <c r="D93" s="3" t="s">
        <v>364</v>
      </c>
      <c r="E93" s="3" t="s">
        <v>368</v>
      </c>
      <c r="F93" s="3">
        <v>37</v>
      </c>
      <c r="G93" s="91">
        <v>851</v>
      </c>
      <c r="H93" s="91">
        <v>407</v>
      </c>
    </row>
    <row r="94" spans="1:8" x14ac:dyDescent="0.25">
      <c r="A94" s="132">
        <v>40548</v>
      </c>
      <c r="B94" s="3" t="s">
        <v>363</v>
      </c>
      <c r="C94" s="3" t="s">
        <v>247</v>
      </c>
      <c r="D94" s="3" t="s">
        <v>349</v>
      </c>
      <c r="E94" s="3" t="s">
        <v>392</v>
      </c>
      <c r="F94" s="3">
        <v>50</v>
      </c>
      <c r="G94" s="91">
        <v>950</v>
      </c>
      <c r="H94" s="91">
        <v>400</v>
      </c>
    </row>
    <row r="95" spans="1:8" x14ac:dyDescent="0.25">
      <c r="A95" s="132">
        <v>40558</v>
      </c>
      <c r="B95" s="3" t="s">
        <v>367</v>
      </c>
      <c r="C95" s="3" t="s">
        <v>247</v>
      </c>
      <c r="D95" s="3" t="s">
        <v>374</v>
      </c>
      <c r="E95" s="3" t="s">
        <v>375</v>
      </c>
      <c r="F95" s="3">
        <v>51</v>
      </c>
      <c r="G95" s="91">
        <v>1173</v>
      </c>
      <c r="H95" s="91">
        <v>561</v>
      </c>
    </row>
    <row r="96" spans="1:8" x14ac:dyDescent="0.25">
      <c r="A96" s="132">
        <v>40566</v>
      </c>
      <c r="B96" s="3" t="s">
        <v>367</v>
      </c>
      <c r="C96" s="3" t="s">
        <v>247</v>
      </c>
      <c r="D96" s="3" t="s">
        <v>377</v>
      </c>
      <c r="E96" s="3" t="s">
        <v>376</v>
      </c>
      <c r="F96" s="3">
        <v>32</v>
      </c>
      <c r="G96" s="91">
        <v>736</v>
      </c>
      <c r="H96" s="91">
        <v>352</v>
      </c>
    </row>
    <row r="97" spans="1:8" x14ac:dyDescent="0.25">
      <c r="A97" s="132">
        <v>40550</v>
      </c>
      <c r="B97" s="3" t="s">
        <v>367</v>
      </c>
      <c r="C97" s="3" t="s">
        <v>362</v>
      </c>
      <c r="D97" s="3" t="s">
        <v>246</v>
      </c>
      <c r="E97" s="3" t="s">
        <v>368</v>
      </c>
      <c r="F97" s="3">
        <v>22</v>
      </c>
      <c r="G97" s="91">
        <v>506</v>
      </c>
      <c r="H97" s="91">
        <v>242</v>
      </c>
    </row>
    <row r="98" spans="1:8" x14ac:dyDescent="0.25">
      <c r="A98" s="132">
        <v>40559</v>
      </c>
      <c r="B98" s="3" t="s">
        <v>367</v>
      </c>
      <c r="C98" s="3" t="s">
        <v>362</v>
      </c>
      <c r="D98" s="3" t="s">
        <v>349</v>
      </c>
      <c r="E98" s="3" t="s">
        <v>394</v>
      </c>
      <c r="F98" s="3">
        <v>33</v>
      </c>
      <c r="G98" s="91">
        <v>759</v>
      </c>
      <c r="H98" s="91">
        <v>363</v>
      </c>
    </row>
    <row r="99" spans="1:8" x14ac:dyDescent="0.25">
      <c r="A99" s="132">
        <v>40562</v>
      </c>
      <c r="B99" s="3" t="s">
        <v>373</v>
      </c>
      <c r="C99" s="3" t="s">
        <v>362</v>
      </c>
      <c r="D99" s="3" t="s">
        <v>377</v>
      </c>
      <c r="E99" s="3" t="s">
        <v>375</v>
      </c>
      <c r="F99" s="3">
        <v>18</v>
      </c>
      <c r="G99" s="91">
        <v>396</v>
      </c>
      <c r="H99" s="91">
        <v>180</v>
      </c>
    </row>
    <row r="100" spans="1:8" x14ac:dyDescent="0.25">
      <c r="A100" s="132">
        <v>40571</v>
      </c>
      <c r="B100" s="3" t="s">
        <v>363</v>
      </c>
      <c r="C100" s="3" t="s">
        <v>248</v>
      </c>
      <c r="D100" s="3" t="s">
        <v>349</v>
      </c>
      <c r="E100" s="3" t="s">
        <v>387</v>
      </c>
      <c r="F100" s="3">
        <v>17</v>
      </c>
      <c r="G100" s="91">
        <v>323</v>
      </c>
      <c r="H100" s="91">
        <v>136</v>
      </c>
    </row>
    <row r="101" spans="1:8" x14ac:dyDescent="0.25">
      <c r="A101" s="132">
        <v>40559</v>
      </c>
      <c r="B101" s="3" t="s">
        <v>363</v>
      </c>
      <c r="C101" s="3" t="s">
        <v>362</v>
      </c>
      <c r="D101" s="3" t="s">
        <v>246</v>
      </c>
      <c r="E101" s="3" t="s">
        <v>380</v>
      </c>
      <c r="F101" s="3">
        <v>14</v>
      </c>
      <c r="G101" s="91">
        <v>266</v>
      </c>
      <c r="H101" s="91">
        <v>112</v>
      </c>
    </row>
    <row r="102" spans="1:8" x14ac:dyDescent="0.25">
      <c r="A102" s="132">
        <v>40558</v>
      </c>
      <c r="B102" s="3" t="s">
        <v>363</v>
      </c>
      <c r="C102" s="3" t="s">
        <v>361</v>
      </c>
      <c r="D102" s="3" t="s">
        <v>377</v>
      </c>
      <c r="E102" s="3" t="s">
        <v>399</v>
      </c>
      <c r="F102" s="3">
        <v>54</v>
      </c>
      <c r="G102" s="91">
        <v>1026</v>
      </c>
      <c r="H102" s="91">
        <v>432</v>
      </c>
    </row>
    <row r="103" spans="1:8" x14ac:dyDescent="0.25">
      <c r="A103" s="132">
        <v>40570</v>
      </c>
      <c r="B103" s="3" t="s">
        <v>373</v>
      </c>
      <c r="C103" s="3" t="s">
        <v>248</v>
      </c>
      <c r="D103" s="3" t="s">
        <v>364</v>
      </c>
      <c r="E103" s="3" t="s">
        <v>375</v>
      </c>
      <c r="F103" s="3">
        <v>56</v>
      </c>
      <c r="G103" s="91">
        <v>1232</v>
      </c>
      <c r="H103" s="91">
        <v>560</v>
      </c>
    </row>
    <row r="104" spans="1:8" x14ac:dyDescent="0.25">
      <c r="A104" s="132">
        <v>40571</v>
      </c>
      <c r="B104" s="3" t="s">
        <v>373</v>
      </c>
      <c r="C104" s="3" t="s">
        <v>362</v>
      </c>
      <c r="D104" s="3" t="s">
        <v>349</v>
      </c>
      <c r="E104" s="3" t="s">
        <v>392</v>
      </c>
      <c r="F104" s="3">
        <v>47</v>
      </c>
      <c r="G104" s="91">
        <v>1034</v>
      </c>
      <c r="H104" s="91">
        <v>470</v>
      </c>
    </row>
    <row r="105" spans="1:8" x14ac:dyDescent="0.25">
      <c r="A105" s="132">
        <v>40571</v>
      </c>
      <c r="B105" s="3" t="s">
        <v>373</v>
      </c>
      <c r="C105" s="3" t="s">
        <v>247</v>
      </c>
      <c r="D105" s="3" t="s">
        <v>246</v>
      </c>
      <c r="E105" s="3" t="s">
        <v>401</v>
      </c>
      <c r="F105" s="3">
        <v>65</v>
      </c>
      <c r="G105" s="91">
        <v>1430</v>
      </c>
      <c r="H105" s="91">
        <v>650</v>
      </c>
    </row>
    <row r="106" spans="1:8" x14ac:dyDescent="0.25">
      <c r="A106" s="132">
        <v>40558</v>
      </c>
      <c r="B106" s="3" t="s">
        <v>369</v>
      </c>
      <c r="C106" s="3" t="s">
        <v>361</v>
      </c>
      <c r="D106" s="3" t="s">
        <v>364</v>
      </c>
      <c r="E106" s="3" t="s">
        <v>378</v>
      </c>
      <c r="F106" s="3">
        <v>56</v>
      </c>
      <c r="G106" s="91">
        <v>1176</v>
      </c>
      <c r="H106" s="91">
        <v>518</v>
      </c>
    </row>
    <row r="107" spans="1:8" x14ac:dyDescent="0.25">
      <c r="A107" s="132">
        <v>40557</v>
      </c>
      <c r="B107" s="3" t="s">
        <v>371</v>
      </c>
      <c r="C107" s="3" t="s">
        <v>362</v>
      </c>
      <c r="D107" s="3" t="s">
        <v>377</v>
      </c>
      <c r="E107" s="3" t="s">
        <v>391</v>
      </c>
      <c r="F107" s="3">
        <v>64</v>
      </c>
      <c r="G107" s="91">
        <v>1728</v>
      </c>
      <c r="H107" s="91">
        <v>928</v>
      </c>
    </row>
    <row r="108" spans="1:8" x14ac:dyDescent="0.25">
      <c r="A108" s="132">
        <v>40562</v>
      </c>
      <c r="B108" s="3" t="s">
        <v>369</v>
      </c>
      <c r="C108" s="3" t="s">
        <v>361</v>
      </c>
      <c r="D108" s="3" t="s">
        <v>374</v>
      </c>
      <c r="E108" s="3" t="s">
        <v>402</v>
      </c>
      <c r="F108" s="3">
        <v>63</v>
      </c>
      <c r="G108" s="91">
        <v>1323</v>
      </c>
      <c r="H108" s="91">
        <v>582.75</v>
      </c>
    </row>
    <row r="109" spans="1:8" x14ac:dyDescent="0.25">
      <c r="A109" s="132">
        <v>40572</v>
      </c>
      <c r="B109" s="3" t="s">
        <v>369</v>
      </c>
      <c r="C109" s="3" t="s">
        <v>247</v>
      </c>
      <c r="D109" s="3" t="s">
        <v>374</v>
      </c>
      <c r="E109" s="3" t="s">
        <v>375</v>
      </c>
      <c r="F109" s="3">
        <v>25</v>
      </c>
      <c r="G109" s="91">
        <v>525</v>
      </c>
      <c r="H109" s="91">
        <v>231.25</v>
      </c>
    </row>
    <row r="110" spans="1:8" x14ac:dyDescent="0.25">
      <c r="A110" s="132">
        <v>40560</v>
      </c>
      <c r="B110" s="3" t="s">
        <v>371</v>
      </c>
      <c r="C110" s="3" t="s">
        <v>248</v>
      </c>
      <c r="D110" s="3" t="s">
        <v>364</v>
      </c>
      <c r="E110" s="3" t="s">
        <v>385</v>
      </c>
      <c r="F110" s="3">
        <v>15</v>
      </c>
      <c r="G110" s="91">
        <v>405</v>
      </c>
      <c r="H110" s="91">
        <v>217.5</v>
      </c>
    </row>
    <row r="111" spans="1:8" x14ac:dyDescent="0.25">
      <c r="A111" s="132">
        <v>40573</v>
      </c>
      <c r="B111" s="3" t="s">
        <v>363</v>
      </c>
      <c r="C111" s="3" t="s">
        <v>361</v>
      </c>
      <c r="D111" s="3" t="s">
        <v>364</v>
      </c>
      <c r="E111" s="3" t="s">
        <v>381</v>
      </c>
      <c r="F111" s="3">
        <v>42</v>
      </c>
      <c r="G111" s="91">
        <v>798</v>
      </c>
      <c r="H111" s="91">
        <v>336</v>
      </c>
    </row>
    <row r="112" spans="1:8" x14ac:dyDescent="0.25">
      <c r="A112" s="132">
        <v>40559</v>
      </c>
      <c r="B112" s="3" t="s">
        <v>369</v>
      </c>
      <c r="C112" s="3" t="s">
        <v>361</v>
      </c>
      <c r="D112" s="3" t="s">
        <v>377</v>
      </c>
      <c r="E112" s="3" t="s">
        <v>368</v>
      </c>
      <c r="F112" s="3">
        <v>31</v>
      </c>
      <c r="G112" s="91">
        <v>651</v>
      </c>
      <c r="H112" s="91">
        <v>286.75</v>
      </c>
    </row>
    <row r="113" spans="1:8" x14ac:dyDescent="0.25">
      <c r="A113" s="132">
        <v>40562</v>
      </c>
      <c r="B113" s="3" t="s">
        <v>369</v>
      </c>
      <c r="C113" s="3" t="s">
        <v>247</v>
      </c>
      <c r="D113" s="3" t="s">
        <v>382</v>
      </c>
      <c r="E113" s="3" t="s">
        <v>387</v>
      </c>
      <c r="F113" s="3">
        <v>32</v>
      </c>
      <c r="G113" s="91">
        <v>672</v>
      </c>
      <c r="H113" s="91">
        <v>296</v>
      </c>
    </row>
    <row r="114" spans="1:8" x14ac:dyDescent="0.25">
      <c r="A114" s="132">
        <v>40548</v>
      </c>
      <c r="B114" s="3" t="s">
        <v>367</v>
      </c>
      <c r="C114" s="3" t="s">
        <v>362</v>
      </c>
      <c r="D114" s="3" t="s">
        <v>349</v>
      </c>
      <c r="E114" s="3" t="s">
        <v>386</v>
      </c>
      <c r="F114" s="3">
        <v>34</v>
      </c>
      <c r="G114" s="91">
        <v>782</v>
      </c>
      <c r="H114" s="91">
        <v>374</v>
      </c>
    </row>
    <row r="115" spans="1:8" x14ac:dyDescent="0.25">
      <c r="A115" s="132">
        <v>40561</v>
      </c>
      <c r="B115" s="3" t="s">
        <v>367</v>
      </c>
      <c r="C115" s="3" t="s">
        <v>248</v>
      </c>
      <c r="D115" s="3" t="s">
        <v>246</v>
      </c>
      <c r="E115" s="3" t="s">
        <v>396</v>
      </c>
      <c r="F115" s="3">
        <v>50</v>
      </c>
      <c r="G115" s="91">
        <v>1150</v>
      </c>
      <c r="H115" s="91">
        <v>550</v>
      </c>
    </row>
    <row r="116" spans="1:8" x14ac:dyDescent="0.25">
      <c r="A116" s="132">
        <v>40551</v>
      </c>
      <c r="B116" s="3" t="s">
        <v>363</v>
      </c>
      <c r="C116" s="3" t="s">
        <v>362</v>
      </c>
      <c r="D116" s="3" t="s">
        <v>349</v>
      </c>
      <c r="E116" s="3" t="s">
        <v>394</v>
      </c>
      <c r="F116" s="3">
        <v>53</v>
      </c>
      <c r="G116" s="91">
        <v>1007</v>
      </c>
      <c r="H116" s="91">
        <v>424</v>
      </c>
    </row>
    <row r="117" spans="1:8" x14ac:dyDescent="0.25">
      <c r="A117" s="132">
        <v>40553</v>
      </c>
      <c r="B117" s="3" t="s">
        <v>371</v>
      </c>
      <c r="C117" s="3" t="s">
        <v>361</v>
      </c>
      <c r="D117" s="3" t="s">
        <v>349</v>
      </c>
      <c r="E117" s="3" t="s">
        <v>401</v>
      </c>
      <c r="F117" s="3">
        <v>27</v>
      </c>
      <c r="G117" s="91">
        <v>729</v>
      </c>
      <c r="H117" s="91">
        <v>391.5</v>
      </c>
    </row>
    <row r="118" spans="1:8" x14ac:dyDescent="0.25">
      <c r="A118" s="132">
        <v>40548</v>
      </c>
      <c r="B118" s="3" t="s">
        <v>373</v>
      </c>
      <c r="C118" s="3" t="s">
        <v>248</v>
      </c>
      <c r="D118" s="3" t="s">
        <v>382</v>
      </c>
      <c r="E118" s="3" t="s">
        <v>386</v>
      </c>
      <c r="F118" s="3">
        <v>23</v>
      </c>
      <c r="G118" s="91">
        <v>506</v>
      </c>
      <c r="H118" s="91">
        <v>230</v>
      </c>
    </row>
    <row r="119" spans="1:8" x14ac:dyDescent="0.25">
      <c r="A119" s="132">
        <v>40558</v>
      </c>
      <c r="B119" s="3" t="s">
        <v>371</v>
      </c>
      <c r="C119" s="3" t="s">
        <v>247</v>
      </c>
      <c r="D119" s="3" t="s">
        <v>246</v>
      </c>
      <c r="E119" s="3" t="s">
        <v>395</v>
      </c>
      <c r="F119" s="3">
        <v>12</v>
      </c>
      <c r="G119" s="91">
        <v>324</v>
      </c>
      <c r="H119" s="91">
        <v>174</v>
      </c>
    </row>
    <row r="120" spans="1:8" x14ac:dyDescent="0.25">
      <c r="A120" s="132">
        <v>40560</v>
      </c>
      <c r="B120" s="3" t="s">
        <v>371</v>
      </c>
      <c r="C120" s="3" t="s">
        <v>247</v>
      </c>
      <c r="D120" s="3" t="s">
        <v>246</v>
      </c>
      <c r="E120" s="3" t="s">
        <v>389</v>
      </c>
      <c r="F120" s="3">
        <v>50</v>
      </c>
      <c r="G120" s="91">
        <v>1350</v>
      </c>
      <c r="H120" s="91">
        <v>725</v>
      </c>
    </row>
    <row r="121" spans="1:8" x14ac:dyDescent="0.25">
      <c r="A121" s="132">
        <v>40569</v>
      </c>
      <c r="B121" s="3" t="s">
        <v>363</v>
      </c>
      <c r="C121" s="3" t="s">
        <v>361</v>
      </c>
      <c r="D121" s="3" t="s">
        <v>374</v>
      </c>
      <c r="E121" s="3" t="s">
        <v>396</v>
      </c>
      <c r="F121" s="3">
        <v>49</v>
      </c>
      <c r="G121" s="91">
        <v>931</v>
      </c>
      <c r="H121" s="91">
        <v>392</v>
      </c>
    </row>
    <row r="122" spans="1:8" x14ac:dyDescent="0.25">
      <c r="A122" s="132">
        <v>40554</v>
      </c>
      <c r="B122" s="3" t="s">
        <v>369</v>
      </c>
      <c r="C122" s="3" t="s">
        <v>362</v>
      </c>
      <c r="D122" s="3" t="s">
        <v>374</v>
      </c>
      <c r="E122" s="3" t="s">
        <v>389</v>
      </c>
      <c r="F122" s="3">
        <v>17</v>
      </c>
      <c r="G122" s="91">
        <v>357</v>
      </c>
      <c r="H122" s="91">
        <v>157.25</v>
      </c>
    </row>
    <row r="123" spans="1:8" x14ac:dyDescent="0.25">
      <c r="A123" s="132">
        <v>40547</v>
      </c>
      <c r="B123" s="3" t="s">
        <v>371</v>
      </c>
      <c r="C123" s="3" t="s">
        <v>362</v>
      </c>
      <c r="D123" s="3" t="s">
        <v>349</v>
      </c>
      <c r="E123" s="3" t="s">
        <v>376</v>
      </c>
      <c r="F123" s="3">
        <v>12</v>
      </c>
      <c r="G123" s="91">
        <v>324</v>
      </c>
      <c r="H123" s="91">
        <v>174</v>
      </c>
    </row>
    <row r="124" spans="1:8" x14ac:dyDescent="0.25">
      <c r="A124" s="132">
        <v>40564</v>
      </c>
      <c r="B124" s="3" t="s">
        <v>367</v>
      </c>
      <c r="C124" s="3" t="s">
        <v>361</v>
      </c>
      <c r="D124" s="3" t="s">
        <v>246</v>
      </c>
      <c r="E124" s="3" t="s">
        <v>398</v>
      </c>
      <c r="F124" s="3">
        <v>53</v>
      </c>
      <c r="G124" s="91">
        <v>1219</v>
      </c>
      <c r="H124" s="91">
        <v>583</v>
      </c>
    </row>
    <row r="125" spans="1:8" x14ac:dyDescent="0.25">
      <c r="A125" s="132">
        <v>40565</v>
      </c>
      <c r="B125" s="3" t="s">
        <v>369</v>
      </c>
      <c r="C125" s="3" t="s">
        <v>247</v>
      </c>
      <c r="D125" s="3" t="s">
        <v>364</v>
      </c>
      <c r="E125" s="3" t="s">
        <v>391</v>
      </c>
      <c r="F125" s="3">
        <v>41</v>
      </c>
      <c r="G125" s="91">
        <v>861</v>
      </c>
      <c r="H125" s="91">
        <v>379.25</v>
      </c>
    </row>
    <row r="126" spans="1:8" x14ac:dyDescent="0.25">
      <c r="A126" s="132">
        <v>40553</v>
      </c>
      <c r="B126" s="3" t="s">
        <v>363</v>
      </c>
      <c r="C126" s="3" t="s">
        <v>248</v>
      </c>
      <c r="D126" s="3" t="s">
        <v>364</v>
      </c>
      <c r="E126" s="3" t="s">
        <v>368</v>
      </c>
      <c r="F126" s="3">
        <v>8</v>
      </c>
      <c r="G126" s="91">
        <v>152</v>
      </c>
      <c r="H126" s="91">
        <v>64</v>
      </c>
    </row>
    <row r="127" spans="1:8" x14ac:dyDescent="0.25">
      <c r="A127" s="132">
        <v>40555</v>
      </c>
      <c r="B127" s="3" t="s">
        <v>369</v>
      </c>
      <c r="C127" s="3" t="s">
        <v>362</v>
      </c>
      <c r="D127" s="3" t="s">
        <v>364</v>
      </c>
      <c r="E127" s="3" t="s">
        <v>387</v>
      </c>
      <c r="F127" s="3">
        <v>47</v>
      </c>
      <c r="G127" s="91">
        <v>987</v>
      </c>
      <c r="H127" s="91">
        <v>434.75</v>
      </c>
    </row>
  </sheetData>
  <conditionalFormatting sqref="B23:H127">
    <cfRule type="expression" dxfId="1" priority="1">
      <formula>AND($B23=$J$24,$C23=$L$22)</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27"/>
  <sheetViews>
    <sheetView zoomScale="115" zoomScaleNormal="115" workbookViewId="0">
      <selection activeCell="C21" sqref="C21"/>
    </sheetView>
  </sheetViews>
  <sheetFormatPr defaultRowHeight="15" x14ac:dyDescent="0.25"/>
  <cols>
    <col min="1" max="1" width="10.85546875" bestFit="1" customWidth="1"/>
    <col min="2" max="2" width="9" bestFit="1" customWidth="1"/>
    <col min="3" max="3" width="11.7109375" bestFit="1" customWidth="1"/>
    <col min="4" max="4" width="9.7109375" bestFit="1" customWidth="1"/>
    <col min="5" max="5" width="10.5703125" bestFit="1" customWidth="1"/>
    <col min="6" max="6" width="5.7109375" customWidth="1"/>
    <col min="7" max="7" width="10.5703125" bestFit="1" customWidth="1"/>
    <col min="8" max="8" width="11.5703125" bestFit="1" customWidth="1"/>
    <col min="9" max="9" width="5.28515625" customWidth="1"/>
    <col min="10" max="10" width="15.42578125" customWidth="1"/>
    <col min="11" max="11" width="7.85546875" bestFit="1" customWidth="1"/>
    <col min="12" max="12" width="10.5703125" bestFit="1" customWidth="1"/>
    <col min="13" max="14" width="7.85546875" bestFit="1" customWidth="1"/>
  </cols>
  <sheetData>
    <row r="1" spans="1:12" x14ac:dyDescent="0.25">
      <c r="A1" s="110" t="s">
        <v>103</v>
      </c>
      <c r="B1" s="110" t="s">
        <v>104</v>
      </c>
      <c r="C1" s="110" t="s">
        <v>338</v>
      </c>
      <c r="D1" s="111" t="s">
        <v>339</v>
      </c>
      <c r="E1" s="111" t="s">
        <v>105</v>
      </c>
      <c r="G1" s="1" t="s">
        <v>104</v>
      </c>
      <c r="H1" s="1" t="s">
        <v>340</v>
      </c>
      <c r="J1" t="s">
        <v>341</v>
      </c>
    </row>
    <row r="2" spans="1:12" x14ac:dyDescent="0.25">
      <c r="A2" s="129">
        <v>40186</v>
      </c>
      <c r="B2" s="130" t="s">
        <v>342</v>
      </c>
      <c r="C2" s="130" t="s">
        <v>343</v>
      </c>
      <c r="D2" s="130">
        <v>27</v>
      </c>
      <c r="E2" s="131">
        <v>1179.6299999999999</v>
      </c>
      <c r="G2" s="130" t="s">
        <v>342</v>
      </c>
      <c r="H2" s="53">
        <f>SUMIFS($E$2:$E$19,$B$2:$B$19,G2)</f>
        <v>2641.48</v>
      </c>
      <c r="J2" s="53">
        <f>SUMIF(B$2:B$19,G2,E$2:E$19)</f>
        <v>2641.48</v>
      </c>
      <c r="L2" s="53">
        <f ca="1">SUMIF(B$2:B$19,G2,E$2)</f>
        <v>2641.48</v>
      </c>
    </row>
    <row r="3" spans="1:12" x14ac:dyDescent="0.25">
      <c r="A3" s="129">
        <v>40181</v>
      </c>
      <c r="B3" s="130" t="s">
        <v>344</v>
      </c>
      <c r="C3" s="130" t="s">
        <v>343</v>
      </c>
      <c r="D3" s="130">
        <v>20</v>
      </c>
      <c r="E3" s="131">
        <v>873.8</v>
      </c>
      <c r="G3" s="130" t="s">
        <v>344</v>
      </c>
      <c r="H3" s="53">
        <f t="shared" ref="H3:H7" si="0">SUMIFS($E$2:$E$19,$B$2:$B$19,G3)</f>
        <v>1314.1999999999998</v>
      </c>
      <c r="J3" s="53">
        <f t="shared" ref="J3:J8" si="1">SUMIF(B$2:B$19,G3,E$2:E$19)</f>
        <v>1314.1999999999998</v>
      </c>
      <c r="L3" s="53">
        <f t="shared" ref="L3:L8" ca="1" si="2">SUMIF(B$2:B$19,G3,E$2)</f>
        <v>1314.1999999999998</v>
      </c>
    </row>
    <row r="4" spans="1:12" x14ac:dyDescent="0.25">
      <c r="A4" s="129">
        <v>40184</v>
      </c>
      <c r="B4" s="130" t="s">
        <v>342</v>
      </c>
      <c r="C4" s="130" t="s">
        <v>345</v>
      </c>
      <c r="D4" s="130">
        <v>23</v>
      </c>
      <c r="E4" s="131">
        <v>757.85</v>
      </c>
      <c r="G4" s="130" t="s">
        <v>346</v>
      </c>
      <c r="H4" s="53">
        <f t="shared" si="0"/>
        <v>1080.7</v>
      </c>
      <c r="J4" s="53">
        <f t="shared" si="1"/>
        <v>1080.7</v>
      </c>
      <c r="K4" t="s">
        <v>347</v>
      </c>
      <c r="L4" s="53">
        <f t="shared" ca="1" si="2"/>
        <v>1080.7</v>
      </c>
    </row>
    <row r="5" spans="1:12" x14ac:dyDescent="0.25">
      <c r="A5" s="129">
        <v>40179</v>
      </c>
      <c r="B5" s="130" t="s">
        <v>346</v>
      </c>
      <c r="C5" s="130" t="s">
        <v>348</v>
      </c>
      <c r="D5" s="130">
        <v>26</v>
      </c>
      <c r="E5" s="131">
        <v>492.7</v>
      </c>
      <c r="G5" s="130" t="s">
        <v>349</v>
      </c>
      <c r="H5" s="53">
        <f t="shared" si="0"/>
        <v>343.84999999999997</v>
      </c>
      <c r="J5" s="53">
        <f t="shared" si="1"/>
        <v>343.84999999999997</v>
      </c>
      <c r="L5" s="53">
        <f t="shared" ca="1" si="2"/>
        <v>343.84999999999997</v>
      </c>
    </row>
    <row r="6" spans="1:12" x14ac:dyDescent="0.25">
      <c r="A6" s="129">
        <v>40184</v>
      </c>
      <c r="B6" s="130" t="s">
        <v>342</v>
      </c>
      <c r="C6" s="130" t="s">
        <v>350</v>
      </c>
      <c r="D6" s="130">
        <v>25</v>
      </c>
      <c r="E6" s="131">
        <v>350</v>
      </c>
      <c r="G6" s="130" t="s">
        <v>351</v>
      </c>
      <c r="H6" s="53">
        <f t="shared" si="0"/>
        <v>534.4</v>
      </c>
      <c r="J6" s="53">
        <f t="shared" si="1"/>
        <v>534.4</v>
      </c>
      <c r="L6" s="53">
        <f t="shared" ca="1" si="2"/>
        <v>534.4</v>
      </c>
    </row>
    <row r="7" spans="1:12" x14ac:dyDescent="0.25">
      <c r="A7" s="129">
        <v>40186</v>
      </c>
      <c r="B7" s="130" t="s">
        <v>349</v>
      </c>
      <c r="C7" s="130" t="s">
        <v>352</v>
      </c>
      <c r="D7" s="130">
        <v>23</v>
      </c>
      <c r="E7" s="131">
        <v>343.84999999999997</v>
      </c>
      <c r="G7" s="130" t="s">
        <v>246</v>
      </c>
      <c r="H7" s="53">
        <f t="shared" si="0"/>
        <v>302</v>
      </c>
      <c r="J7" s="53">
        <f t="shared" si="1"/>
        <v>302</v>
      </c>
      <c r="L7" s="53">
        <f t="shared" ca="1" si="2"/>
        <v>302</v>
      </c>
    </row>
    <row r="8" spans="1:12" x14ac:dyDescent="0.25">
      <c r="A8" s="129">
        <v>40180</v>
      </c>
      <c r="B8" s="130" t="s">
        <v>346</v>
      </c>
      <c r="C8" s="130" t="s">
        <v>350</v>
      </c>
      <c r="D8" s="130">
        <v>24</v>
      </c>
      <c r="E8" s="131">
        <v>336</v>
      </c>
      <c r="G8" s="130" t="s">
        <v>353</v>
      </c>
      <c r="H8" s="53">
        <f>SUMIFS($E$2:$E$19,$B$2:$B$19,G8)</f>
        <v>29</v>
      </c>
      <c r="J8" s="53">
        <f t="shared" si="1"/>
        <v>29</v>
      </c>
      <c r="L8" s="53">
        <f t="shared" ca="1" si="2"/>
        <v>29</v>
      </c>
    </row>
    <row r="9" spans="1:12" x14ac:dyDescent="0.25">
      <c r="A9" s="129">
        <v>40183</v>
      </c>
      <c r="B9" s="130" t="s">
        <v>351</v>
      </c>
      <c r="C9" s="130" t="s">
        <v>352</v>
      </c>
      <c r="D9" s="130">
        <v>18</v>
      </c>
      <c r="E9" s="131">
        <v>269.09999999999997</v>
      </c>
    </row>
    <row r="10" spans="1:12" x14ac:dyDescent="0.25">
      <c r="A10" s="129">
        <v>40185</v>
      </c>
      <c r="B10" s="130" t="s">
        <v>351</v>
      </c>
      <c r="C10" s="130" t="s">
        <v>348</v>
      </c>
      <c r="D10" s="130">
        <v>14</v>
      </c>
      <c r="E10" s="131">
        <v>265.3</v>
      </c>
    </row>
    <row r="11" spans="1:12" x14ac:dyDescent="0.25">
      <c r="A11" s="129">
        <v>40186</v>
      </c>
      <c r="B11" s="130" t="s">
        <v>346</v>
      </c>
      <c r="C11" s="130" t="s">
        <v>354</v>
      </c>
      <c r="D11" s="130">
        <v>14</v>
      </c>
      <c r="E11" s="131">
        <v>252</v>
      </c>
      <c r="H11" t="s">
        <v>666</v>
      </c>
    </row>
    <row r="12" spans="1:12" x14ac:dyDescent="0.25">
      <c r="A12" s="129">
        <v>40185</v>
      </c>
      <c r="B12" s="130" t="s">
        <v>342</v>
      </c>
      <c r="C12" s="130" t="s">
        <v>354</v>
      </c>
      <c r="D12" s="130">
        <v>13</v>
      </c>
      <c r="E12" s="131">
        <v>234</v>
      </c>
    </row>
    <row r="13" spans="1:12" x14ac:dyDescent="0.25">
      <c r="A13" s="129">
        <v>40184</v>
      </c>
      <c r="B13" s="130" t="s">
        <v>246</v>
      </c>
      <c r="C13" s="130" t="s">
        <v>350</v>
      </c>
      <c r="D13" s="130">
        <v>13</v>
      </c>
      <c r="E13" s="131">
        <v>182</v>
      </c>
    </row>
    <row r="14" spans="1:12" x14ac:dyDescent="0.25">
      <c r="A14" s="129">
        <v>40181</v>
      </c>
      <c r="B14" s="130" t="s">
        <v>344</v>
      </c>
      <c r="C14" s="130" t="s">
        <v>355</v>
      </c>
      <c r="D14" s="130">
        <v>10</v>
      </c>
      <c r="E14" s="131">
        <v>159.5</v>
      </c>
    </row>
    <row r="15" spans="1:12" x14ac:dyDescent="0.25">
      <c r="A15" s="129">
        <v>40185</v>
      </c>
      <c r="B15" s="130" t="s">
        <v>344</v>
      </c>
      <c r="C15" s="130" t="s">
        <v>356</v>
      </c>
      <c r="D15" s="130">
        <v>6</v>
      </c>
      <c r="E15" s="131">
        <v>153.30000000000001</v>
      </c>
    </row>
    <row r="16" spans="1:12" x14ac:dyDescent="0.25">
      <c r="A16" s="129">
        <v>40184</v>
      </c>
      <c r="B16" s="130" t="s">
        <v>344</v>
      </c>
      <c r="C16" s="130" t="s">
        <v>355</v>
      </c>
      <c r="D16" s="130">
        <v>8</v>
      </c>
      <c r="E16" s="131">
        <v>127.6</v>
      </c>
    </row>
    <row r="17" spans="1:14" x14ac:dyDescent="0.25">
      <c r="A17" s="129">
        <v>40184</v>
      </c>
      <c r="B17" s="130" t="s">
        <v>246</v>
      </c>
      <c r="C17" s="130" t="s">
        <v>357</v>
      </c>
      <c r="D17" s="130">
        <v>10</v>
      </c>
      <c r="E17" s="131">
        <v>120</v>
      </c>
    </row>
    <row r="18" spans="1:14" x14ac:dyDescent="0.25">
      <c r="A18" s="129">
        <v>40186</v>
      </c>
      <c r="B18" s="130" t="s">
        <v>342</v>
      </c>
      <c r="C18" s="130" t="s">
        <v>358</v>
      </c>
      <c r="D18" s="130">
        <v>12</v>
      </c>
      <c r="E18" s="131">
        <v>120</v>
      </c>
    </row>
    <row r="19" spans="1:14" x14ac:dyDescent="0.25">
      <c r="A19" s="129">
        <v>40187</v>
      </c>
      <c r="B19" s="130" t="s">
        <v>353</v>
      </c>
      <c r="C19" s="130" t="s">
        <v>354</v>
      </c>
      <c r="D19" s="130">
        <v>1</v>
      </c>
      <c r="E19" s="131">
        <v>29</v>
      </c>
    </row>
    <row r="22" spans="1:14" x14ac:dyDescent="0.25">
      <c r="A22" s="110" t="s">
        <v>103</v>
      </c>
      <c r="B22" s="110" t="s">
        <v>243</v>
      </c>
      <c r="C22" s="110" t="s">
        <v>242</v>
      </c>
      <c r="D22" s="110" t="s">
        <v>104</v>
      </c>
      <c r="E22" s="110" t="s">
        <v>359</v>
      </c>
      <c r="F22" s="110" t="s">
        <v>251</v>
      </c>
      <c r="G22" s="110" t="s">
        <v>105</v>
      </c>
      <c r="H22" s="110" t="s">
        <v>202</v>
      </c>
      <c r="J22" s="78" t="s">
        <v>360</v>
      </c>
      <c r="K22" s="78" t="s">
        <v>248</v>
      </c>
      <c r="L22" s="78" t="s">
        <v>361</v>
      </c>
      <c r="M22" s="78" t="s">
        <v>247</v>
      </c>
      <c r="N22" s="78" t="s">
        <v>362</v>
      </c>
    </row>
    <row r="23" spans="1:14" x14ac:dyDescent="0.25">
      <c r="A23" s="132">
        <v>40556</v>
      </c>
      <c r="B23" s="3" t="s">
        <v>363</v>
      </c>
      <c r="C23" s="3" t="s">
        <v>248</v>
      </c>
      <c r="D23" s="3" t="s">
        <v>364</v>
      </c>
      <c r="E23" s="3" t="s">
        <v>365</v>
      </c>
      <c r="F23" s="3">
        <v>58</v>
      </c>
      <c r="G23" s="91">
        <v>1102</v>
      </c>
      <c r="H23" s="91">
        <v>464</v>
      </c>
      <c r="J23" s="78" t="s">
        <v>363</v>
      </c>
      <c r="K23" s="133">
        <f t="shared" ref="K23:N27" si="3">SUMIFS($G$23:$G$127,$C$23:$C$127,K$22,$B$23:$B$127,$J23)</f>
        <v>4313</v>
      </c>
      <c r="L23" s="133">
        <f t="shared" si="3"/>
        <v>3933</v>
      </c>
      <c r="M23" s="133">
        <f t="shared" si="3"/>
        <v>5415</v>
      </c>
      <c r="N23" s="133">
        <f t="shared" si="3"/>
        <v>2812</v>
      </c>
    </row>
    <row r="24" spans="1:14" x14ac:dyDescent="0.25">
      <c r="A24" s="132">
        <v>40558</v>
      </c>
      <c r="B24" s="3" t="s">
        <v>363</v>
      </c>
      <c r="C24" s="3" t="s">
        <v>361</v>
      </c>
      <c r="D24" s="3" t="s">
        <v>349</v>
      </c>
      <c r="E24" s="3" t="s">
        <v>366</v>
      </c>
      <c r="F24" s="3">
        <v>17</v>
      </c>
      <c r="G24" s="91">
        <v>323</v>
      </c>
      <c r="H24" s="91">
        <v>136</v>
      </c>
      <c r="J24" s="78" t="s">
        <v>367</v>
      </c>
      <c r="K24" s="133">
        <f t="shared" si="3"/>
        <v>2530</v>
      </c>
      <c r="L24" s="133">
        <f t="shared" si="3"/>
        <v>7981</v>
      </c>
      <c r="M24" s="133">
        <f t="shared" si="3"/>
        <v>4485</v>
      </c>
      <c r="N24" s="133">
        <f t="shared" si="3"/>
        <v>4876</v>
      </c>
    </row>
    <row r="25" spans="1:14" x14ac:dyDescent="0.25">
      <c r="A25" s="132">
        <v>40568</v>
      </c>
      <c r="B25" s="3" t="s">
        <v>363</v>
      </c>
      <c r="C25" s="3" t="s">
        <v>247</v>
      </c>
      <c r="D25" s="3" t="s">
        <v>364</v>
      </c>
      <c r="E25" s="3" t="s">
        <v>368</v>
      </c>
      <c r="F25" s="3">
        <v>59</v>
      </c>
      <c r="G25" s="91">
        <v>1121</v>
      </c>
      <c r="H25" s="91">
        <v>472</v>
      </c>
      <c r="J25" s="78" t="s">
        <v>369</v>
      </c>
      <c r="K25" s="133">
        <f t="shared" si="3"/>
        <v>420</v>
      </c>
      <c r="L25" s="133">
        <f t="shared" si="3"/>
        <v>6216</v>
      </c>
      <c r="M25" s="133">
        <f t="shared" si="3"/>
        <v>2058</v>
      </c>
      <c r="N25" s="133">
        <f t="shared" si="3"/>
        <v>3486</v>
      </c>
    </row>
    <row r="26" spans="1:14" x14ac:dyDescent="0.25">
      <c r="A26" s="132">
        <v>40546</v>
      </c>
      <c r="B26" s="3" t="s">
        <v>367</v>
      </c>
      <c r="C26" s="3" t="s">
        <v>361</v>
      </c>
      <c r="D26" s="3" t="s">
        <v>246</v>
      </c>
      <c r="E26" s="3" t="s">
        <v>370</v>
      </c>
      <c r="F26" s="3">
        <v>55</v>
      </c>
      <c r="G26" s="91">
        <v>1265</v>
      </c>
      <c r="H26" s="91">
        <v>605</v>
      </c>
      <c r="J26" s="78" t="s">
        <v>371</v>
      </c>
      <c r="K26" s="133">
        <f t="shared" si="3"/>
        <v>5805</v>
      </c>
      <c r="L26" s="133">
        <f t="shared" si="3"/>
        <v>7749</v>
      </c>
      <c r="M26" s="133">
        <f t="shared" si="3"/>
        <v>5454</v>
      </c>
      <c r="N26" s="133">
        <f t="shared" si="3"/>
        <v>3078</v>
      </c>
    </row>
    <row r="27" spans="1:14" x14ac:dyDescent="0.25">
      <c r="A27" s="132">
        <v>40570</v>
      </c>
      <c r="B27" s="3" t="s">
        <v>369</v>
      </c>
      <c r="C27" s="3" t="s">
        <v>361</v>
      </c>
      <c r="D27" s="3" t="s">
        <v>364</v>
      </c>
      <c r="E27" s="3" t="s">
        <v>372</v>
      </c>
      <c r="F27" s="3">
        <v>44</v>
      </c>
      <c r="G27" s="91">
        <v>924</v>
      </c>
      <c r="H27" s="91">
        <v>407</v>
      </c>
      <c r="J27" s="78" t="s">
        <v>373</v>
      </c>
      <c r="K27" s="133">
        <f t="shared" si="3"/>
        <v>3586</v>
      </c>
      <c r="L27" s="133">
        <f t="shared" si="3"/>
        <v>1276</v>
      </c>
      <c r="M27" s="133">
        <f t="shared" si="3"/>
        <v>4400</v>
      </c>
      <c r="N27" s="133">
        <f t="shared" si="3"/>
        <v>2090</v>
      </c>
    </row>
    <row r="28" spans="1:14" x14ac:dyDescent="0.25">
      <c r="A28" s="132">
        <v>40557</v>
      </c>
      <c r="B28" s="3" t="s">
        <v>371</v>
      </c>
      <c r="C28" s="3" t="s">
        <v>361</v>
      </c>
      <c r="D28" s="3" t="s">
        <v>374</v>
      </c>
      <c r="E28" s="3" t="s">
        <v>375</v>
      </c>
      <c r="F28" s="3">
        <v>61</v>
      </c>
      <c r="G28" s="91">
        <v>1647</v>
      </c>
      <c r="H28" s="91">
        <v>884.5</v>
      </c>
    </row>
    <row r="29" spans="1:14" x14ac:dyDescent="0.25">
      <c r="A29" s="132">
        <v>40551</v>
      </c>
      <c r="B29" s="3" t="s">
        <v>371</v>
      </c>
      <c r="C29" s="3" t="s">
        <v>361</v>
      </c>
      <c r="D29" s="3" t="s">
        <v>364</v>
      </c>
      <c r="E29" s="3" t="s">
        <v>376</v>
      </c>
      <c r="F29" s="3">
        <v>50</v>
      </c>
      <c r="G29" s="91">
        <v>1350</v>
      </c>
      <c r="H29" s="91">
        <v>725</v>
      </c>
    </row>
    <row r="30" spans="1:14" x14ac:dyDescent="0.25">
      <c r="A30" s="132">
        <v>40559</v>
      </c>
      <c r="B30" s="3" t="s">
        <v>371</v>
      </c>
      <c r="C30" s="3" t="s">
        <v>248</v>
      </c>
      <c r="D30" s="3" t="s">
        <v>377</v>
      </c>
      <c r="E30" s="3" t="s">
        <v>378</v>
      </c>
      <c r="F30" s="3">
        <v>59</v>
      </c>
      <c r="G30" s="91">
        <v>1593</v>
      </c>
      <c r="H30" s="91">
        <v>855.5</v>
      </c>
    </row>
    <row r="31" spans="1:14" x14ac:dyDescent="0.25">
      <c r="A31" s="132">
        <v>40550</v>
      </c>
      <c r="B31" s="3" t="s">
        <v>371</v>
      </c>
      <c r="C31" s="3" t="s">
        <v>248</v>
      </c>
      <c r="D31" s="3" t="s">
        <v>349</v>
      </c>
      <c r="E31" s="3" t="s">
        <v>379</v>
      </c>
      <c r="F31" s="3">
        <v>36</v>
      </c>
      <c r="G31" s="91">
        <v>972</v>
      </c>
      <c r="H31" s="91">
        <v>522</v>
      </c>
    </row>
    <row r="32" spans="1:14" x14ac:dyDescent="0.25">
      <c r="A32" s="132">
        <v>40558</v>
      </c>
      <c r="B32" s="3" t="s">
        <v>369</v>
      </c>
      <c r="C32" s="3" t="s">
        <v>248</v>
      </c>
      <c r="D32" s="3" t="s">
        <v>246</v>
      </c>
      <c r="E32" s="3" t="s">
        <v>370</v>
      </c>
      <c r="F32" s="3">
        <v>14</v>
      </c>
      <c r="G32" s="91">
        <v>294</v>
      </c>
      <c r="H32" s="91">
        <v>129.5</v>
      </c>
    </row>
    <row r="33" spans="1:14" x14ac:dyDescent="0.25">
      <c r="A33" s="132">
        <v>40563</v>
      </c>
      <c r="B33" s="3" t="s">
        <v>371</v>
      </c>
      <c r="C33" s="3" t="s">
        <v>362</v>
      </c>
      <c r="D33" s="3" t="s">
        <v>377</v>
      </c>
      <c r="E33" s="3" t="s">
        <v>380</v>
      </c>
      <c r="F33" s="3">
        <v>38</v>
      </c>
      <c r="G33" s="91">
        <v>1026</v>
      </c>
      <c r="H33" s="91">
        <v>551</v>
      </c>
      <c r="J33" t="s">
        <v>341</v>
      </c>
    </row>
    <row r="34" spans="1:14" x14ac:dyDescent="0.25">
      <c r="A34" s="132">
        <v>40570</v>
      </c>
      <c r="B34" s="3" t="s">
        <v>367</v>
      </c>
      <c r="C34" s="3" t="s">
        <v>361</v>
      </c>
      <c r="D34" s="3" t="s">
        <v>349</v>
      </c>
      <c r="E34" s="3" t="s">
        <v>381</v>
      </c>
      <c r="F34" s="3">
        <v>63</v>
      </c>
      <c r="G34" s="91">
        <v>1449</v>
      </c>
      <c r="H34" s="91">
        <v>693</v>
      </c>
      <c r="J34" s="78" t="s">
        <v>360</v>
      </c>
      <c r="K34" s="78" t="s">
        <v>248</v>
      </c>
      <c r="L34" s="78" t="s">
        <v>361</v>
      </c>
      <c r="M34" s="78" t="s">
        <v>247</v>
      </c>
      <c r="N34" s="78" t="s">
        <v>362</v>
      </c>
    </row>
    <row r="35" spans="1:14" x14ac:dyDescent="0.25">
      <c r="A35" s="132">
        <v>40551</v>
      </c>
      <c r="B35" s="3" t="s">
        <v>363</v>
      </c>
      <c r="C35" s="3" t="s">
        <v>248</v>
      </c>
      <c r="D35" s="3" t="s">
        <v>382</v>
      </c>
      <c r="E35" s="3" t="s">
        <v>383</v>
      </c>
      <c r="F35" s="3">
        <v>9</v>
      </c>
      <c r="G35" s="91">
        <v>171</v>
      </c>
      <c r="H35" s="91">
        <v>72</v>
      </c>
      <c r="J35" s="78" t="s">
        <v>363</v>
      </c>
      <c r="K35" s="133">
        <f t="shared" ref="K35:N39" si="4">SUMPRODUCT($G$23:$G$127,--($B$23:$B$127=$J35),--($C$23:$C$127=K$34))</f>
        <v>4313</v>
      </c>
      <c r="L35" s="133">
        <f t="shared" si="4"/>
        <v>3933</v>
      </c>
      <c r="M35" s="133">
        <f t="shared" si="4"/>
        <v>5415</v>
      </c>
      <c r="N35" s="133">
        <f t="shared" si="4"/>
        <v>2812</v>
      </c>
    </row>
    <row r="36" spans="1:14" x14ac:dyDescent="0.25">
      <c r="A36" s="132">
        <v>40563</v>
      </c>
      <c r="B36" s="3" t="s">
        <v>367</v>
      </c>
      <c r="C36" s="3" t="s">
        <v>361</v>
      </c>
      <c r="D36" s="3" t="s">
        <v>246</v>
      </c>
      <c r="E36" s="3" t="s">
        <v>380</v>
      </c>
      <c r="F36" s="3">
        <v>65</v>
      </c>
      <c r="G36" s="91">
        <v>1495</v>
      </c>
      <c r="H36" s="91">
        <v>715</v>
      </c>
      <c r="J36" s="78" t="s">
        <v>367</v>
      </c>
      <c r="K36" s="133">
        <f t="shared" si="4"/>
        <v>2530</v>
      </c>
      <c r="L36" s="133">
        <f t="shared" si="4"/>
        <v>7981</v>
      </c>
      <c r="M36" s="133">
        <f t="shared" si="4"/>
        <v>4485</v>
      </c>
      <c r="N36" s="133">
        <f t="shared" si="4"/>
        <v>4876</v>
      </c>
    </row>
    <row r="37" spans="1:14" x14ac:dyDescent="0.25">
      <c r="A37" s="132">
        <v>40548</v>
      </c>
      <c r="B37" s="3" t="s">
        <v>371</v>
      </c>
      <c r="C37" s="3" t="s">
        <v>248</v>
      </c>
      <c r="D37" s="3" t="s">
        <v>377</v>
      </c>
      <c r="E37" s="3" t="s">
        <v>384</v>
      </c>
      <c r="F37" s="3">
        <v>35</v>
      </c>
      <c r="G37" s="91">
        <v>945</v>
      </c>
      <c r="H37" s="91">
        <v>507.5</v>
      </c>
      <c r="J37" s="78" t="s">
        <v>369</v>
      </c>
      <c r="K37" s="133">
        <f t="shared" si="4"/>
        <v>420</v>
      </c>
      <c r="L37" s="133">
        <f t="shared" si="4"/>
        <v>6216</v>
      </c>
      <c r="M37" s="133">
        <f t="shared" si="4"/>
        <v>2058</v>
      </c>
      <c r="N37" s="133">
        <f t="shared" si="4"/>
        <v>3486</v>
      </c>
    </row>
    <row r="38" spans="1:14" x14ac:dyDescent="0.25">
      <c r="A38" s="132">
        <v>40555</v>
      </c>
      <c r="B38" s="3" t="s">
        <v>363</v>
      </c>
      <c r="C38" s="3" t="s">
        <v>247</v>
      </c>
      <c r="D38" s="3" t="s">
        <v>246</v>
      </c>
      <c r="E38" s="3" t="s">
        <v>379</v>
      </c>
      <c r="F38" s="3">
        <v>37</v>
      </c>
      <c r="G38" s="91">
        <v>703</v>
      </c>
      <c r="H38" s="91">
        <v>296</v>
      </c>
      <c r="J38" s="78" t="s">
        <v>371</v>
      </c>
      <c r="K38" s="133">
        <f t="shared" si="4"/>
        <v>5805</v>
      </c>
      <c r="L38" s="133">
        <f t="shared" si="4"/>
        <v>7749</v>
      </c>
      <c r="M38" s="133">
        <f t="shared" si="4"/>
        <v>5454</v>
      </c>
      <c r="N38" s="133">
        <f t="shared" si="4"/>
        <v>3078</v>
      </c>
    </row>
    <row r="39" spans="1:14" x14ac:dyDescent="0.25">
      <c r="A39" s="132">
        <v>40547</v>
      </c>
      <c r="B39" s="3" t="s">
        <v>363</v>
      </c>
      <c r="C39" s="3" t="s">
        <v>248</v>
      </c>
      <c r="D39" s="3" t="s">
        <v>377</v>
      </c>
      <c r="E39" s="3" t="s">
        <v>385</v>
      </c>
      <c r="F39" s="3">
        <v>55</v>
      </c>
      <c r="G39" s="91">
        <v>1045</v>
      </c>
      <c r="H39" s="91">
        <v>440</v>
      </c>
      <c r="J39" s="78" t="s">
        <v>373</v>
      </c>
      <c r="K39" s="133">
        <f t="shared" si="4"/>
        <v>3586</v>
      </c>
      <c r="L39" s="133">
        <f t="shared" si="4"/>
        <v>1276</v>
      </c>
      <c r="M39" s="133">
        <f t="shared" si="4"/>
        <v>4400</v>
      </c>
      <c r="N39" s="133">
        <f t="shared" si="4"/>
        <v>2090</v>
      </c>
    </row>
    <row r="40" spans="1:14" x14ac:dyDescent="0.25">
      <c r="A40" s="132">
        <v>40571</v>
      </c>
      <c r="B40" s="3" t="s">
        <v>363</v>
      </c>
      <c r="C40" s="3" t="s">
        <v>362</v>
      </c>
      <c r="D40" s="3" t="s">
        <v>374</v>
      </c>
      <c r="E40" s="3" t="s">
        <v>365</v>
      </c>
      <c r="F40" s="3">
        <v>33</v>
      </c>
      <c r="G40" s="91">
        <v>627</v>
      </c>
      <c r="H40" s="91">
        <v>264</v>
      </c>
    </row>
    <row r="41" spans="1:14" x14ac:dyDescent="0.25">
      <c r="A41" s="132">
        <v>40547</v>
      </c>
      <c r="B41" s="3" t="s">
        <v>367</v>
      </c>
      <c r="C41" s="3" t="s">
        <v>248</v>
      </c>
      <c r="D41" s="3" t="s">
        <v>246</v>
      </c>
      <c r="E41" s="3" t="s">
        <v>386</v>
      </c>
      <c r="F41" s="3">
        <v>28</v>
      </c>
      <c r="G41" s="91">
        <v>644</v>
      </c>
      <c r="H41" s="91">
        <v>308</v>
      </c>
    </row>
    <row r="42" spans="1:14" x14ac:dyDescent="0.25">
      <c r="A42" s="132">
        <v>40561</v>
      </c>
      <c r="B42" s="3" t="s">
        <v>371</v>
      </c>
      <c r="C42" s="3" t="s">
        <v>248</v>
      </c>
      <c r="D42" s="3" t="s">
        <v>349</v>
      </c>
      <c r="E42" s="3" t="s">
        <v>372</v>
      </c>
      <c r="F42" s="3">
        <v>10</v>
      </c>
      <c r="G42" s="91">
        <v>270</v>
      </c>
      <c r="H42" s="91">
        <v>145</v>
      </c>
    </row>
    <row r="43" spans="1:14" x14ac:dyDescent="0.25">
      <c r="A43" s="132">
        <v>40564</v>
      </c>
      <c r="B43" s="3" t="s">
        <v>373</v>
      </c>
      <c r="C43" s="3" t="s">
        <v>248</v>
      </c>
      <c r="D43" s="3" t="s">
        <v>246</v>
      </c>
      <c r="E43" s="3" t="s">
        <v>387</v>
      </c>
      <c r="F43" s="3">
        <v>30</v>
      </c>
      <c r="G43" s="91">
        <v>660</v>
      </c>
      <c r="H43" s="91">
        <v>300</v>
      </c>
    </row>
    <row r="44" spans="1:14" x14ac:dyDescent="0.25">
      <c r="A44" s="132">
        <v>40544</v>
      </c>
      <c r="B44" s="3" t="s">
        <v>363</v>
      </c>
      <c r="C44" s="3" t="s">
        <v>247</v>
      </c>
      <c r="D44" s="3" t="s">
        <v>377</v>
      </c>
      <c r="E44" s="3" t="s">
        <v>375</v>
      </c>
      <c r="F44" s="3">
        <v>26</v>
      </c>
      <c r="G44" s="91">
        <v>494</v>
      </c>
      <c r="H44" s="91">
        <v>208</v>
      </c>
    </row>
    <row r="45" spans="1:14" x14ac:dyDescent="0.25">
      <c r="A45" s="132">
        <v>40566</v>
      </c>
      <c r="B45" s="3" t="s">
        <v>369</v>
      </c>
      <c r="C45" s="3" t="s">
        <v>248</v>
      </c>
      <c r="D45" s="3" t="s">
        <v>246</v>
      </c>
      <c r="E45" s="3" t="s">
        <v>388</v>
      </c>
      <c r="F45" s="3">
        <v>6</v>
      </c>
      <c r="G45" s="91">
        <v>126</v>
      </c>
      <c r="H45" s="91">
        <v>55.5</v>
      </c>
    </row>
    <row r="46" spans="1:14" x14ac:dyDescent="0.25">
      <c r="A46" s="132">
        <v>40568</v>
      </c>
      <c r="B46" s="3" t="s">
        <v>371</v>
      </c>
      <c r="C46" s="3" t="s">
        <v>361</v>
      </c>
      <c r="D46" s="3" t="s">
        <v>364</v>
      </c>
      <c r="E46" s="3" t="s">
        <v>379</v>
      </c>
      <c r="F46" s="3">
        <v>41</v>
      </c>
      <c r="G46" s="91">
        <v>1107</v>
      </c>
      <c r="H46" s="91">
        <v>594.5</v>
      </c>
    </row>
    <row r="47" spans="1:14" x14ac:dyDescent="0.25">
      <c r="A47" s="132">
        <v>40562</v>
      </c>
      <c r="B47" s="3" t="s">
        <v>371</v>
      </c>
      <c r="C47" s="3" t="s">
        <v>247</v>
      </c>
      <c r="D47" s="3" t="s">
        <v>374</v>
      </c>
      <c r="E47" s="3" t="s">
        <v>389</v>
      </c>
      <c r="F47" s="3">
        <v>26</v>
      </c>
      <c r="G47" s="91">
        <v>702</v>
      </c>
      <c r="H47" s="91">
        <v>377</v>
      </c>
    </row>
    <row r="48" spans="1:14" x14ac:dyDescent="0.25">
      <c r="A48" s="132">
        <v>40572</v>
      </c>
      <c r="B48" s="3" t="s">
        <v>363</v>
      </c>
      <c r="C48" s="3" t="s">
        <v>361</v>
      </c>
      <c r="D48" s="3" t="s">
        <v>382</v>
      </c>
      <c r="E48" s="3" t="s">
        <v>385</v>
      </c>
      <c r="F48" s="3">
        <v>45</v>
      </c>
      <c r="G48" s="91">
        <v>855</v>
      </c>
      <c r="H48" s="91">
        <v>360</v>
      </c>
    </row>
    <row r="49" spans="1:8" x14ac:dyDescent="0.25">
      <c r="A49" s="132">
        <v>40572</v>
      </c>
      <c r="B49" s="3" t="s">
        <v>369</v>
      </c>
      <c r="C49" s="3" t="s">
        <v>362</v>
      </c>
      <c r="D49" s="3" t="s">
        <v>382</v>
      </c>
      <c r="E49" s="3" t="s">
        <v>390</v>
      </c>
      <c r="F49" s="3">
        <v>15</v>
      </c>
      <c r="G49" s="91">
        <v>315</v>
      </c>
      <c r="H49" s="91">
        <v>138.75</v>
      </c>
    </row>
    <row r="50" spans="1:8" x14ac:dyDescent="0.25">
      <c r="A50" s="132">
        <v>40565</v>
      </c>
      <c r="B50" s="3" t="s">
        <v>367</v>
      </c>
      <c r="C50" s="3" t="s">
        <v>247</v>
      </c>
      <c r="D50" s="3" t="s">
        <v>246</v>
      </c>
      <c r="E50" s="3" t="s">
        <v>365</v>
      </c>
      <c r="F50" s="3">
        <v>65</v>
      </c>
      <c r="G50" s="91">
        <v>1495</v>
      </c>
      <c r="H50" s="91">
        <v>715</v>
      </c>
    </row>
    <row r="51" spans="1:8" x14ac:dyDescent="0.25">
      <c r="A51" s="132">
        <v>40573</v>
      </c>
      <c r="B51" s="3" t="s">
        <v>371</v>
      </c>
      <c r="C51" s="3" t="s">
        <v>248</v>
      </c>
      <c r="D51" s="3" t="s">
        <v>364</v>
      </c>
      <c r="E51" s="3" t="s">
        <v>389</v>
      </c>
      <c r="F51" s="3">
        <v>14</v>
      </c>
      <c r="G51" s="91">
        <v>378</v>
      </c>
      <c r="H51" s="91">
        <v>203</v>
      </c>
    </row>
    <row r="52" spans="1:8" x14ac:dyDescent="0.25">
      <c r="A52" s="132">
        <v>40561</v>
      </c>
      <c r="B52" s="3" t="s">
        <v>373</v>
      </c>
      <c r="C52" s="3" t="s">
        <v>247</v>
      </c>
      <c r="D52" s="3" t="s">
        <v>246</v>
      </c>
      <c r="E52" s="3" t="s">
        <v>366</v>
      </c>
      <c r="F52" s="3">
        <v>56</v>
      </c>
      <c r="G52" s="91">
        <v>1232</v>
      </c>
      <c r="H52" s="91">
        <v>560</v>
      </c>
    </row>
    <row r="53" spans="1:8" x14ac:dyDescent="0.25">
      <c r="A53" s="132">
        <v>40544</v>
      </c>
      <c r="B53" s="3" t="s">
        <v>363</v>
      </c>
      <c r="C53" s="3" t="s">
        <v>247</v>
      </c>
      <c r="D53" s="3" t="s">
        <v>364</v>
      </c>
      <c r="E53" s="3" t="s">
        <v>378</v>
      </c>
      <c r="F53" s="3">
        <v>11</v>
      </c>
      <c r="G53" s="91">
        <v>209</v>
      </c>
      <c r="H53" s="91">
        <v>88</v>
      </c>
    </row>
    <row r="54" spans="1:8" x14ac:dyDescent="0.25">
      <c r="A54" s="132">
        <v>40561</v>
      </c>
      <c r="B54" s="3" t="s">
        <v>371</v>
      </c>
      <c r="C54" s="3" t="s">
        <v>247</v>
      </c>
      <c r="D54" s="3" t="s">
        <v>374</v>
      </c>
      <c r="E54" s="3" t="s">
        <v>391</v>
      </c>
      <c r="F54" s="3">
        <v>40</v>
      </c>
      <c r="G54" s="91">
        <v>1080</v>
      </c>
      <c r="H54" s="91">
        <v>580</v>
      </c>
    </row>
    <row r="55" spans="1:8" x14ac:dyDescent="0.25">
      <c r="A55" s="132">
        <v>40564</v>
      </c>
      <c r="B55" s="3" t="s">
        <v>371</v>
      </c>
      <c r="C55" s="3" t="s">
        <v>361</v>
      </c>
      <c r="D55" s="3" t="s">
        <v>349</v>
      </c>
      <c r="E55" s="3" t="s">
        <v>365</v>
      </c>
      <c r="F55" s="3">
        <v>58</v>
      </c>
      <c r="G55" s="91">
        <v>1566</v>
      </c>
      <c r="H55" s="91">
        <v>841</v>
      </c>
    </row>
    <row r="56" spans="1:8" x14ac:dyDescent="0.25">
      <c r="A56" s="132">
        <v>40555</v>
      </c>
      <c r="B56" s="3" t="s">
        <v>367</v>
      </c>
      <c r="C56" s="3" t="s">
        <v>361</v>
      </c>
      <c r="D56" s="3" t="s">
        <v>246</v>
      </c>
      <c r="E56" s="3" t="s">
        <v>392</v>
      </c>
      <c r="F56" s="3">
        <v>40</v>
      </c>
      <c r="G56" s="91">
        <v>920</v>
      </c>
      <c r="H56" s="91">
        <v>440</v>
      </c>
    </row>
    <row r="57" spans="1:8" x14ac:dyDescent="0.25">
      <c r="A57" s="132">
        <v>40559</v>
      </c>
      <c r="B57" s="3" t="s">
        <v>371</v>
      </c>
      <c r="C57" s="3" t="s">
        <v>247</v>
      </c>
      <c r="D57" s="3" t="s">
        <v>246</v>
      </c>
      <c r="E57" s="3" t="s">
        <v>393</v>
      </c>
      <c r="F57" s="3">
        <v>40</v>
      </c>
      <c r="G57" s="91">
        <v>1080</v>
      </c>
      <c r="H57" s="91">
        <v>580</v>
      </c>
    </row>
    <row r="58" spans="1:8" x14ac:dyDescent="0.25">
      <c r="A58" s="132">
        <v>40548</v>
      </c>
      <c r="B58" s="3" t="s">
        <v>367</v>
      </c>
      <c r="C58" s="3" t="s">
        <v>362</v>
      </c>
      <c r="D58" s="3" t="s">
        <v>364</v>
      </c>
      <c r="E58" s="3" t="s">
        <v>378</v>
      </c>
      <c r="F58" s="3">
        <v>11</v>
      </c>
      <c r="G58" s="91">
        <v>253</v>
      </c>
      <c r="H58" s="91">
        <v>121</v>
      </c>
    </row>
    <row r="59" spans="1:8" x14ac:dyDescent="0.25">
      <c r="A59" s="132">
        <v>40573</v>
      </c>
      <c r="B59" s="3" t="s">
        <v>373</v>
      </c>
      <c r="C59" s="3" t="s">
        <v>247</v>
      </c>
      <c r="D59" s="3" t="s">
        <v>364</v>
      </c>
      <c r="E59" s="3" t="s">
        <v>394</v>
      </c>
      <c r="F59" s="3">
        <v>17</v>
      </c>
      <c r="G59" s="91">
        <v>374</v>
      </c>
      <c r="H59" s="91">
        <v>170</v>
      </c>
    </row>
    <row r="60" spans="1:8" x14ac:dyDescent="0.25">
      <c r="A60" s="132">
        <v>40558</v>
      </c>
      <c r="B60" s="3" t="s">
        <v>371</v>
      </c>
      <c r="C60" s="3" t="s">
        <v>248</v>
      </c>
      <c r="D60" s="3" t="s">
        <v>382</v>
      </c>
      <c r="E60" s="3" t="s">
        <v>392</v>
      </c>
      <c r="F60" s="3">
        <v>19</v>
      </c>
      <c r="G60" s="91">
        <v>513</v>
      </c>
      <c r="H60" s="91">
        <v>275.5</v>
      </c>
    </row>
    <row r="61" spans="1:8" x14ac:dyDescent="0.25">
      <c r="A61" s="132">
        <v>40573</v>
      </c>
      <c r="B61" s="3" t="s">
        <v>371</v>
      </c>
      <c r="C61" s="3" t="s">
        <v>361</v>
      </c>
      <c r="D61" s="3" t="s">
        <v>382</v>
      </c>
      <c r="E61" s="3" t="s">
        <v>379</v>
      </c>
      <c r="F61" s="3">
        <v>15</v>
      </c>
      <c r="G61" s="91">
        <v>405</v>
      </c>
      <c r="H61" s="91">
        <v>217.5</v>
      </c>
    </row>
    <row r="62" spans="1:8" x14ac:dyDescent="0.25">
      <c r="A62" s="132">
        <v>40559</v>
      </c>
      <c r="B62" s="3" t="s">
        <v>363</v>
      </c>
      <c r="C62" s="3" t="s">
        <v>248</v>
      </c>
      <c r="D62" s="3" t="s">
        <v>382</v>
      </c>
      <c r="E62" s="3" t="s">
        <v>386</v>
      </c>
      <c r="F62" s="3">
        <v>57</v>
      </c>
      <c r="G62" s="91">
        <v>1083</v>
      </c>
      <c r="H62" s="91">
        <v>456</v>
      </c>
    </row>
    <row r="63" spans="1:8" x14ac:dyDescent="0.25">
      <c r="A63" s="132">
        <v>40567</v>
      </c>
      <c r="B63" s="3" t="s">
        <v>369</v>
      </c>
      <c r="C63" s="3" t="s">
        <v>361</v>
      </c>
      <c r="D63" s="3" t="s">
        <v>364</v>
      </c>
      <c r="E63" s="3" t="s">
        <v>386</v>
      </c>
      <c r="F63" s="3">
        <v>17</v>
      </c>
      <c r="G63" s="91">
        <v>357</v>
      </c>
      <c r="H63" s="91">
        <v>157.25</v>
      </c>
    </row>
    <row r="64" spans="1:8" x14ac:dyDescent="0.25">
      <c r="A64" s="132">
        <v>40569</v>
      </c>
      <c r="B64" s="3" t="s">
        <v>367</v>
      </c>
      <c r="C64" s="3" t="s">
        <v>362</v>
      </c>
      <c r="D64" s="3" t="s">
        <v>374</v>
      </c>
      <c r="E64" s="3" t="s">
        <v>375</v>
      </c>
      <c r="F64" s="3">
        <v>31</v>
      </c>
      <c r="G64" s="91">
        <v>713</v>
      </c>
      <c r="H64" s="91">
        <v>341</v>
      </c>
    </row>
    <row r="65" spans="1:8" x14ac:dyDescent="0.25">
      <c r="A65" s="132">
        <v>40554</v>
      </c>
      <c r="B65" s="3" t="s">
        <v>369</v>
      </c>
      <c r="C65" s="3" t="s">
        <v>362</v>
      </c>
      <c r="D65" s="3" t="s">
        <v>382</v>
      </c>
      <c r="E65" s="3" t="s">
        <v>395</v>
      </c>
      <c r="F65" s="3">
        <v>28</v>
      </c>
      <c r="G65" s="91">
        <v>588</v>
      </c>
      <c r="H65" s="91">
        <v>259</v>
      </c>
    </row>
    <row r="66" spans="1:8" x14ac:dyDescent="0.25">
      <c r="A66" s="132">
        <v>40549</v>
      </c>
      <c r="B66" s="3" t="s">
        <v>373</v>
      </c>
      <c r="C66" s="3" t="s">
        <v>361</v>
      </c>
      <c r="D66" s="3" t="s">
        <v>374</v>
      </c>
      <c r="E66" s="3" t="s">
        <v>396</v>
      </c>
      <c r="F66" s="3">
        <v>11</v>
      </c>
      <c r="G66" s="91">
        <v>242</v>
      </c>
      <c r="H66" s="91">
        <v>110</v>
      </c>
    </row>
    <row r="67" spans="1:8" x14ac:dyDescent="0.25">
      <c r="A67" s="132">
        <v>40552</v>
      </c>
      <c r="B67" s="3" t="s">
        <v>373</v>
      </c>
      <c r="C67" s="3" t="s">
        <v>248</v>
      </c>
      <c r="D67" s="3" t="s">
        <v>374</v>
      </c>
      <c r="E67" s="3" t="s">
        <v>379</v>
      </c>
      <c r="F67" s="3">
        <v>20</v>
      </c>
      <c r="G67" s="91">
        <v>440</v>
      </c>
      <c r="H67" s="91">
        <v>200</v>
      </c>
    </row>
    <row r="68" spans="1:8" x14ac:dyDescent="0.25">
      <c r="A68" s="132">
        <v>40559</v>
      </c>
      <c r="B68" s="3" t="s">
        <v>371</v>
      </c>
      <c r="C68" s="3" t="s">
        <v>248</v>
      </c>
      <c r="D68" s="3" t="s">
        <v>349</v>
      </c>
      <c r="E68" s="3" t="s">
        <v>397</v>
      </c>
      <c r="F68" s="3">
        <v>8</v>
      </c>
      <c r="G68" s="91">
        <v>216</v>
      </c>
      <c r="H68" s="91">
        <v>116</v>
      </c>
    </row>
    <row r="69" spans="1:8" x14ac:dyDescent="0.25">
      <c r="A69" s="132">
        <v>40555</v>
      </c>
      <c r="B69" s="3" t="s">
        <v>371</v>
      </c>
      <c r="C69" s="3" t="s">
        <v>247</v>
      </c>
      <c r="D69" s="3" t="s">
        <v>364</v>
      </c>
      <c r="E69" s="3" t="s">
        <v>379</v>
      </c>
      <c r="F69" s="3">
        <v>34</v>
      </c>
      <c r="G69" s="91">
        <v>918</v>
      </c>
      <c r="H69" s="91">
        <v>493</v>
      </c>
    </row>
    <row r="70" spans="1:8" x14ac:dyDescent="0.25">
      <c r="A70" s="132">
        <v>40557</v>
      </c>
      <c r="B70" s="3" t="s">
        <v>367</v>
      </c>
      <c r="C70" s="3" t="s">
        <v>361</v>
      </c>
      <c r="D70" s="3" t="s">
        <v>349</v>
      </c>
      <c r="E70" s="3" t="s">
        <v>396</v>
      </c>
      <c r="F70" s="3">
        <v>34</v>
      </c>
      <c r="G70" s="91">
        <v>782</v>
      </c>
      <c r="H70" s="91">
        <v>374</v>
      </c>
    </row>
    <row r="71" spans="1:8" x14ac:dyDescent="0.25">
      <c r="A71" s="132">
        <v>40545</v>
      </c>
      <c r="B71" s="3" t="s">
        <v>363</v>
      </c>
      <c r="C71" s="3" t="s">
        <v>247</v>
      </c>
      <c r="D71" s="3" t="s">
        <v>364</v>
      </c>
      <c r="E71" s="3" t="s">
        <v>398</v>
      </c>
      <c r="F71" s="3">
        <v>16</v>
      </c>
      <c r="G71" s="91">
        <v>304</v>
      </c>
      <c r="H71" s="91">
        <v>128</v>
      </c>
    </row>
    <row r="72" spans="1:8" x14ac:dyDescent="0.25">
      <c r="A72" s="132">
        <v>40553</v>
      </c>
      <c r="B72" s="3" t="s">
        <v>367</v>
      </c>
      <c r="C72" s="3" t="s">
        <v>248</v>
      </c>
      <c r="D72" s="3" t="s">
        <v>246</v>
      </c>
      <c r="E72" s="3" t="s">
        <v>375</v>
      </c>
      <c r="F72" s="3">
        <v>32</v>
      </c>
      <c r="G72" s="91">
        <v>736</v>
      </c>
      <c r="H72" s="91">
        <v>352</v>
      </c>
    </row>
    <row r="73" spans="1:8" x14ac:dyDescent="0.25">
      <c r="A73" s="132">
        <v>40571</v>
      </c>
      <c r="B73" s="3" t="s">
        <v>369</v>
      </c>
      <c r="C73" s="3" t="s">
        <v>361</v>
      </c>
      <c r="D73" s="3" t="s">
        <v>349</v>
      </c>
      <c r="E73" s="3" t="s">
        <v>387</v>
      </c>
      <c r="F73" s="3">
        <v>61</v>
      </c>
      <c r="G73" s="91">
        <v>1281</v>
      </c>
      <c r="H73" s="91">
        <v>564.25</v>
      </c>
    </row>
    <row r="74" spans="1:8" x14ac:dyDescent="0.25">
      <c r="A74" s="132">
        <v>40554</v>
      </c>
      <c r="B74" s="3" t="s">
        <v>369</v>
      </c>
      <c r="C74" s="3" t="s">
        <v>362</v>
      </c>
      <c r="D74" s="3" t="s">
        <v>364</v>
      </c>
      <c r="E74" s="3" t="s">
        <v>375</v>
      </c>
      <c r="F74" s="3">
        <v>59</v>
      </c>
      <c r="G74" s="91">
        <v>1239</v>
      </c>
      <c r="H74" s="91">
        <v>545.75</v>
      </c>
    </row>
    <row r="75" spans="1:8" x14ac:dyDescent="0.25">
      <c r="A75" s="132">
        <v>40546</v>
      </c>
      <c r="B75" s="3" t="s">
        <v>373</v>
      </c>
      <c r="C75" s="3" t="s">
        <v>362</v>
      </c>
      <c r="D75" s="3" t="s">
        <v>246</v>
      </c>
      <c r="E75" s="3" t="s">
        <v>375</v>
      </c>
      <c r="F75" s="3">
        <v>30</v>
      </c>
      <c r="G75" s="91">
        <v>660</v>
      </c>
      <c r="H75" s="91">
        <v>300</v>
      </c>
    </row>
    <row r="76" spans="1:8" x14ac:dyDescent="0.25">
      <c r="A76" s="132">
        <v>40558</v>
      </c>
      <c r="B76" s="3" t="s">
        <v>373</v>
      </c>
      <c r="C76" s="3" t="s">
        <v>361</v>
      </c>
      <c r="D76" s="3" t="s">
        <v>377</v>
      </c>
      <c r="E76" s="3" t="s">
        <v>381</v>
      </c>
      <c r="F76" s="3">
        <v>22</v>
      </c>
      <c r="G76" s="91">
        <v>484</v>
      </c>
      <c r="H76" s="91">
        <v>220</v>
      </c>
    </row>
    <row r="77" spans="1:8" x14ac:dyDescent="0.25">
      <c r="A77" s="132">
        <v>40557</v>
      </c>
      <c r="B77" s="3" t="s">
        <v>367</v>
      </c>
      <c r="C77" s="3" t="s">
        <v>247</v>
      </c>
      <c r="D77" s="3" t="s">
        <v>364</v>
      </c>
      <c r="E77" s="3" t="s">
        <v>376</v>
      </c>
      <c r="F77" s="3">
        <v>6</v>
      </c>
      <c r="G77" s="91">
        <v>138</v>
      </c>
      <c r="H77" s="91">
        <v>66</v>
      </c>
    </row>
    <row r="78" spans="1:8" x14ac:dyDescent="0.25">
      <c r="A78" s="132">
        <v>40571</v>
      </c>
      <c r="B78" s="3" t="s">
        <v>371</v>
      </c>
      <c r="C78" s="3" t="s">
        <v>361</v>
      </c>
      <c r="D78" s="3" t="s">
        <v>374</v>
      </c>
      <c r="E78" s="3" t="s">
        <v>399</v>
      </c>
      <c r="F78" s="3">
        <v>16</v>
      </c>
      <c r="G78" s="91">
        <v>432</v>
      </c>
      <c r="H78" s="91">
        <v>232</v>
      </c>
    </row>
    <row r="79" spans="1:8" x14ac:dyDescent="0.25">
      <c r="A79" s="132">
        <v>40547</v>
      </c>
      <c r="B79" s="3" t="s">
        <v>371</v>
      </c>
      <c r="C79" s="3" t="s">
        <v>248</v>
      </c>
      <c r="D79" s="3" t="s">
        <v>349</v>
      </c>
      <c r="E79" s="3" t="s">
        <v>395</v>
      </c>
      <c r="F79" s="3">
        <v>19</v>
      </c>
      <c r="G79" s="91">
        <v>513</v>
      </c>
      <c r="H79" s="91">
        <v>275.5</v>
      </c>
    </row>
    <row r="80" spans="1:8" x14ac:dyDescent="0.25">
      <c r="A80" s="132">
        <v>40556</v>
      </c>
      <c r="B80" s="3" t="s">
        <v>367</v>
      </c>
      <c r="C80" s="3" t="s">
        <v>362</v>
      </c>
      <c r="D80" s="3" t="s">
        <v>246</v>
      </c>
      <c r="E80" s="3" t="s">
        <v>391</v>
      </c>
      <c r="F80" s="3">
        <v>30</v>
      </c>
      <c r="G80" s="91">
        <v>690</v>
      </c>
      <c r="H80" s="91">
        <v>330</v>
      </c>
    </row>
    <row r="81" spans="1:8" x14ac:dyDescent="0.25">
      <c r="A81" s="132">
        <v>40555</v>
      </c>
      <c r="B81" s="3" t="s">
        <v>363</v>
      </c>
      <c r="C81" s="3" t="s">
        <v>247</v>
      </c>
      <c r="D81" s="3" t="s">
        <v>377</v>
      </c>
      <c r="E81" s="3" t="s">
        <v>372</v>
      </c>
      <c r="F81" s="3">
        <v>62</v>
      </c>
      <c r="G81" s="91">
        <v>1178</v>
      </c>
      <c r="H81" s="91">
        <v>496</v>
      </c>
    </row>
    <row r="82" spans="1:8" x14ac:dyDescent="0.25">
      <c r="A82" s="132">
        <v>40567</v>
      </c>
      <c r="B82" s="3" t="s">
        <v>373</v>
      </c>
      <c r="C82" s="3" t="s">
        <v>361</v>
      </c>
      <c r="D82" s="3" t="s">
        <v>364</v>
      </c>
      <c r="E82" s="3" t="s">
        <v>379</v>
      </c>
      <c r="F82" s="3">
        <v>25</v>
      </c>
      <c r="G82" s="91">
        <v>550</v>
      </c>
      <c r="H82" s="91">
        <v>250</v>
      </c>
    </row>
    <row r="83" spans="1:8" x14ac:dyDescent="0.25">
      <c r="A83" s="132">
        <v>40557</v>
      </c>
      <c r="B83" s="3" t="s">
        <v>363</v>
      </c>
      <c r="C83" s="3" t="s">
        <v>247</v>
      </c>
      <c r="D83" s="3" t="s">
        <v>349</v>
      </c>
      <c r="E83" s="3" t="s">
        <v>378</v>
      </c>
      <c r="F83" s="3">
        <v>13</v>
      </c>
      <c r="G83" s="91">
        <v>247</v>
      </c>
      <c r="H83" s="91">
        <v>104</v>
      </c>
    </row>
    <row r="84" spans="1:8" x14ac:dyDescent="0.25">
      <c r="A84" s="132">
        <v>40549</v>
      </c>
      <c r="B84" s="3" t="s">
        <v>369</v>
      </c>
      <c r="C84" s="3" t="s">
        <v>361</v>
      </c>
      <c r="D84" s="3" t="s">
        <v>246</v>
      </c>
      <c r="E84" s="3" t="s">
        <v>388</v>
      </c>
      <c r="F84" s="3">
        <v>24</v>
      </c>
      <c r="G84" s="91">
        <v>504</v>
      </c>
      <c r="H84" s="91">
        <v>222</v>
      </c>
    </row>
    <row r="85" spans="1:8" x14ac:dyDescent="0.25">
      <c r="A85" s="132">
        <v>40562</v>
      </c>
      <c r="B85" s="3" t="s">
        <v>367</v>
      </c>
      <c r="C85" s="3" t="s">
        <v>362</v>
      </c>
      <c r="D85" s="3" t="s">
        <v>377</v>
      </c>
      <c r="E85" s="3" t="s">
        <v>400</v>
      </c>
      <c r="F85" s="3">
        <v>51</v>
      </c>
      <c r="G85" s="91">
        <v>1173</v>
      </c>
      <c r="H85" s="91">
        <v>561</v>
      </c>
    </row>
    <row r="86" spans="1:8" x14ac:dyDescent="0.25">
      <c r="A86" s="132">
        <v>40570</v>
      </c>
      <c r="B86" s="3" t="s">
        <v>363</v>
      </c>
      <c r="C86" s="3" t="s">
        <v>248</v>
      </c>
      <c r="D86" s="3" t="s">
        <v>364</v>
      </c>
      <c r="E86" s="3" t="s">
        <v>390</v>
      </c>
      <c r="F86" s="3">
        <v>23</v>
      </c>
      <c r="G86" s="91">
        <v>437</v>
      </c>
      <c r="H86" s="91">
        <v>184</v>
      </c>
    </row>
    <row r="87" spans="1:8" x14ac:dyDescent="0.25">
      <c r="A87" s="132">
        <v>40564</v>
      </c>
      <c r="B87" s="3" t="s">
        <v>367</v>
      </c>
      <c r="C87" s="3" t="s">
        <v>247</v>
      </c>
      <c r="D87" s="3" t="s">
        <v>377</v>
      </c>
      <c r="E87" s="3" t="s">
        <v>386</v>
      </c>
      <c r="F87" s="3">
        <v>41</v>
      </c>
      <c r="G87" s="91">
        <v>943</v>
      </c>
      <c r="H87" s="91">
        <v>451</v>
      </c>
    </row>
    <row r="88" spans="1:8" x14ac:dyDescent="0.25">
      <c r="A88" s="132">
        <v>40547</v>
      </c>
      <c r="B88" s="3" t="s">
        <v>363</v>
      </c>
      <c r="C88" s="3" t="s">
        <v>247</v>
      </c>
      <c r="D88" s="3" t="s">
        <v>377</v>
      </c>
      <c r="E88" s="3" t="s">
        <v>378</v>
      </c>
      <c r="F88" s="3">
        <v>11</v>
      </c>
      <c r="G88" s="91">
        <v>209</v>
      </c>
      <c r="H88" s="91">
        <v>88</v>
      </c>
    </row>
    <row r="89" spans="1:8" x14ac:dyDescent="0.25">
      <c r="A89" s="132">
        <v>40547</v>
      </c>
      <c r="B89" s="3" t="s">
        <v>371</v>
      </c>
      <c r="C89" s="3" t="s">
        <v>361</v>
      </c>
      <c r="D89" s="3" t="s">
        <v>364</v>
      </c>
      <c r="E89" s="3" t="s">
        <v>396</v>
      </c>
      <c r="F89" s="3">
        <v>19</v>
      </c>
      <c r="G89" s="91">
        <v>513</v>
      </c>
      <c r="H89" s="91">
        <v>275.5</v>
      </c>
    </row>
    <row r="90" spans="1:8" x14ac:dyDescent="0.25">
      <c r="A90" s="132">
        <v>40570</v>
      </c>
      <c r="B90" s="3" t="s">
        <v>373</v>
      </c>
      <c r="C90" s="3" t="s">
        <v>247</v>
      </c>
      <c r="D90" s="3" t="s">
        <v>374</v>
      </c>
      <c r="E90" s="3" t="s">
        <v>396</v>
      </c>
      <c r="F90" s="3">
        <v>62</v>
      </c>
      <c r="G90" s="91">
        <v>1364</v>
      </c>
      <c r="H90" s="91">
        <v>620</v>
      </c>
    </row>
    <row r="91" spans="1:8" x14ac:dyDescent="0.25">
      <c r="A91" s="132">
        <v>40562</v>
      </c>
      <c r="B91" s="3" t="s">
        <v>363</v>
      </c>
      <c r="C91" s="3" t="s">
        <v>362</v>
      </c>
      <c r="D91" s="3" t="s">
        <v>377</v>
      </c>
      <c r="E91" s="3" t="s">
        <v>390</v>
      </c>
      <c r="F91" s="3">
        <v>48</v>
      </c>
      <c r="G91" s="91">
        <v>912</v>
      </c>
      <c r="H91" s="91">
        <v>384</v>
      </c>
    </row>
    <row r="92" spans="1:8" x14ac:dyDescent="0.25">
      <c r="A92" s="132">
        <v>40554</v>
      </c>
      <c r="B92" s="3" t="s">
        <v>373</v>
      </c>
      <c r="C92" s="3" t="s">
        <v>248</v>
      </c>
      <c r="D92" s="3" t="s">
        <v>364</v>
      </c>
      <c r="E92" s="3" t="s">
        <v>366</v>
      </c>
      <c r="F92" s="3">
        <v>34</v>
      </c>
      <c r="G92" s="91">
        <v>748</v>
      </c>
      <c r="H92" s="91">
        <v>340</v>
      </c>
    </row>
    <row r="93" spans="1:8" x14ac:dyDescent="0.25">
      <c r="A93" s="132">
        <v>40544</v>
      </c>
      <c r="B93" s="3" t="s">
        <v>367</v>
      </c>
      <c r="C93" s="3" t="s">
        <v>361</v>
      </c>
      <c r="D93" s="3" t="s">
        <v>364</v>
      </c>
      <c r="E93" s="3" t="s">
        <v>368</v>
      </c>
      <c r="F93" s="3">
        <v>37</v>
      </c>
      <c r="G93" s="91">
        <v>851</v>
      </c>
      <c r="H93" s="91">
        <v>407</v>
      </c>
    </row>
    <row r="94" spans="1:8" x14ac:dyDescent="0.25">
      <c r="A94" s="132">
        <v>40548</v>
      </c>
      <c r="B94" s="3" t="s">
        <v>363</v>
      </c>
      <c r="C94" s="3" t="s">
        <v>247</v>
      </c>
      <c r="D94" s="3" t="s">
        <v>349</v>
      </c>
      <c r="E94" s="3" t="s">
        <v>392</v>
      </c>
      <c r="F94" s="3">
        <v>50</v>
      </c>
      <c r="G94" s="91">
        <v>950</v>
      </c>
      <c r="H94" s="91">
        <v>400</v>
      </c>
    </row>
    <row r="95" spans="1:8" x14ac:dyDescent="0.25">
      <c r="A95" s="132">
        <v>40558</v>
      </c>
      <c r="B95" s="3" t="s">
        <v>367</v>
      </c>
      <c r="C95" s="3" t="s">
        <v>247</v>
      </c>
      <c r="D95" s="3" t="s">
        <v>374</v>
      </c>
      <c r="E95" s="3" t="s">
        <v>375</v>
      </c>
      <c r="F95" s="3">
        <v>51</v>
      </c>
      <c r="G95" s="91">
        <v>1173</v>
      </c>
      <c r="H95" s="91">
        <v>561</v>
      </c>
    </row>
    <row r="96" spans="1:8" x14ac:dyDescent="0.25">
      <c r="A96" s="132">
        <v>40566</v>
      </c>
      <c r="B96" s="3" t="s">
        <v>367</v>
      </c>
      <c r="C96" s="3" t="s">
        <v>247</v>
      </c>
      <c r="D96" s="3" t="s">
        <v>377</v>
      </c>
      <c r="E96" s="3" t="s">
        <v>376</v>
      </c>
      <c r="F96" s="3">
        <v>32</v>
      </c>
      <c r="G96" s="91">
        <v>736</v>
      </c>
      <c r="H96" s="91">
        <v>352</v>
      </c>
    </row>
    <row r="97" spans="1:8" x14ac:dyDescent="0.25">
      <c r="A97" s="132">
        <v>40550</v>
      </c>
      <c r="B97" s="3" t="s">
        <v>367</v>
      </c>
      <c r="C97" s="3" t="s">
        <v>362</v>
      </c>
      <c r="D97" s="3" t="s">
        <v>246</v>
      </c>
      <c r="E97" s="3" t="s">
        <v>368</v>
      </c>
      <c r="F97" s="3">
        <v>22</v>
      </c>
      <c r="G97" s="91">
        <v>506</v>
      </c>
      <c r="H97" s="91">
        <v>242</v>
      </c>
    </row>
    <row r="98" spans="1:8" x14ac:dyDescent="0.25">
      <c r="A98" s="132">
        <v>40559</v>
      </c>
      <c r="B98" s="3" t="s">
        <v>367</v>
      </c>
      <c r="C98" s="3" t="s">
        <v>362</v>
      </c>
      <c r="D98" s="3" t="s">
        <v>349</v>
      </c>
      <c r="E98" s="3" t="s">
        <v>394</v>
      </c>
      <c r="F98" s="3">
        <v>33</v>
      </c>
      <c r="G98" s="91">
        <v>759</v>
      </c>
      <c r="H98" s="91">
        <v>363</v>
      </c>
    </row>
    <row r="99" spans="1:8" x14ac:dyDescent="0.25">
      <c r="A99" s="132">
        <v>40562</v>
      </c>
      <c r="B99" s="3" t="s">
        <v>373</v>
      </c>
      <c r="C99" s="3" t="s">
        <v>362</v>
      </c>
      <c r="D99" s="3" t="s">
        <v>377</v>
      </c>
      <c r="E99" s="3" t="s">
        <v>375</v>
      </c>
      <c r="F99" s="3">
        <v>18</v>
      </c>
      <c r="G99" s="91">
        <v>396</v>
      </c>
      <c r="H99" s="91">
        <v>180</v>
      </c>
    </row>
    <row r="100" spans="1:8" x14ac:dyDescent="0.25">
      <c r="A100" s="132">
        <v>40571</v>
      </c>
      <c r="B100" s="3" t="s">
        <v>363</v>
      </c>
      <c r="C100" s="3" t="s">
        <v>248</v>
      </c>
      <c r="D100" s="3" t="s">
        <v>349</v>
      </c>
      <c r="E100" s="3" t="s">
        <v>387</v>
      </c>
      <c r="F100" s="3">
        <v>17</v>
      </c>
      <c r="G100" s="91">
        <v>323</v>
      </c>
      <c r="H100" s="91">
        <v>136</v>
      </c>
    </row>
    <row r="101" spans="1:8" x14ac:dyDescent="0.25">
      <c r="A101" s="132">
        <v>40559</v>
      </c>
      <c r="B101" s="3" t="s">
        <v>363</v>
      </c>
      <c r="C101" s="3" t="s">
        <v>362</v>
      </c>
      <c r="D101" s="3" t="s">
        <v>246</v>
      </c>
      <c r="E101" s="3" t="s">
        <v>380</v>
      </c>
      <c r="F101" s="3">
        <v>14</v>
      </c>
      <c r="G101" s="91">
        <v>266</v>
      </c>
      <c r="H101" s="91">
        <v>112</v>
      </c>
    </row>
    <row r="102" spans="1:8" x14ac:dyDescent="0.25">
      <c r="A102" s="132">
        <v>40558</v>
      </c>
      <c r="B102" s="3" t="s">
        <v>363</v>
      </c>
      <c r="C102" s="3" t="s">
        <v>361</v>
      </c>
      <c r="D102" s="3" t="s">
        <v>377</v>
      </c>
      <c r="E102" s="3" t="s">
        <v>399</v>
      </c>
      <c r="F102" s="3">
        <v>54</v>
      </c>
      <c r="G102" s="91">
        <v>1026</v>
      </c>
      <c r="H102" s="91">
        <v>432</v>
      </c>
    </row>
    <row r="103" spans="1:8" x14ac:dyDescent="0.25">
      <c r="A103" s="132">
        <v>40570</v>
      </c>
      <c r="B103" s="3" t="s">
        <v>373</v>
      </c>
      <c r="C103" s="3" t="s">
        <v>248</v>
      </c>
      <c r="D103" s="3" t="s">
        <v>364</v>
      </c>
      <c r="E103" s="3" t="s">
        <v>375</v>
      </c>
      <c r="F103" s="3">
        <v>56</v>
      </c>
      <c r="G103" s="91">
        <v>1232</v>
      </c>
      <c r="H103" s="91">
        <v>560</v>
      </c>
    </row>
    <row r="104" spans="1:8" x14ac:dyDescent="0.25">
      <c r="A104" s="132">
        <v>40571</v>
      </c>
      <c r="B104" s="3" t="s">
        <v>373</v>
      </c>
      <c r="C104" s="3" t="s">
        <v>362</v>
      </c>
      <c r="D104" s="3" t="s">
        <v>349</v>
      </c>
      <c r="E104" s="3" t="s">
        <v>392</v>
      </c>
      <c r="F104" s="3">
        <v>47</v>
      </c>
      <c r="G104" s="91">
        <v>1034</v>
      </c>
      <c r="H104" s="91">
        <v>470</v>
      </c>
    </row>
    <row r="105" spans="1:8" x14ac:dyDescent="0.25">
      <c r="A105" s="132">
        <v>40571</v>
      </c>
      <c r="B105" s="3" t="s">
        <v>373</v>
      </c>
      <c r="C105" s="3" t="s">
        <v>247</v>
      </c>
      <c r="D105" s="3" t="s">
        <v>246</v>
      </c>
      <c r="E105" s="3" t="s">
        <v>401</v>
      </c>
      <c r="F105" s="3">
        <v>65</v>
      </c>
      <c r="G105" s="91">
        <v>1430</v>
      </c>
      <c r="H105" s="91">
        <v>650</v>
      </c>
    </row>
    <row r="106" spans="1:8" x14ac:dyDescent="0.25">
      <c r="A106" s="132">
        <v>40558</v>
      </c>
      <c r="B106" s="3" t="s">
        <v>369</v>
      </c>
      <c r="C106" s="3" t="s">
        <v>361</v>
      </c>
      <c r="D106" s="3" t="s">
        <v>364</v>
      </c>
      <c r="E106" s="3" t="s">
        <v>378</v>
      </c>
      <c r="F106" s="3">
        <v>56</v>
      </c>
      <c r="G106" s="91">
        <v>1176</v>
      </c>
      <c r="H106" s="91">
        <v>518</v>
      </c>
    </row>
    <row r="107" spans="1:8" x14ac:dyDescent="0.25">
      <c r="A107" s="132">
        <v>40557</v>
      </c>
      <c r="B107" s="3" t="s">
        <v>371</v>
      </c>
      <c r="C107" s="3" t="s">
        <v>362</v>
      </c>
      <c r="D107" s="3" t="s">
        <v>377</v>
      </c>
      <c r="E107" s="3" t="s">
        <v>391</v>
      </c>
      <c r="F107" s="3">
        <v>64</v>
      </c>
      <c r="G107" s="91">
        <v>1728</v>
      </c>
      <c r="H107" s="91">
        <v>928</v>
      </c>
    </row>
    <row r="108" spans="1:8" x14ac:dyDescent="0.25">
      <c r="A108" s="132">
        <v>40562</v>
      </c>
      <c r="B108" s="3" t="s">
        <v>369</v>
      </c>
      <c r="C108" s="3" t="s">
        <v>361</v>
      </c>
      <c r="D108" s="3" t="s">
        <v>374</v>
      </c>
      <c r="E108" s="3" t="s">
        <v>402</v>
      </c>
      <c r="F108" s="3">
        <v>63</v>
      </c>
      <c r="G108" s="91">
        <v>1323</v>
      </c>
      <c r="H108" s="91">
        <v>582.75</v>
      </c>
    </row>
    <row r="109" spans="1:8" x14ac:dyDescent="0.25">
      <c r="A109" s="132">
        <v>40572</v>
      </c>
      <c r="B109" s="3" t="s">
        <v>369</v>
      </c>
      <c r="C109" s="3" t="s">
        <v>247</v>
      </c>
      <c r="D109" s="3" t="s">
        <v>374</v>
      </c>
      <c r="E109" s="3" t="s">
        <v>375</v>
      </c>
      <c r="F109" s="3">
        <v>25</v>
      </c>
      <c r="G109" s="91">
        <v>525</v>
      </c>
      <c r="H109" s="91">
        <v>231.25</v>
      </c>
    </row>
    <row r="110" spans="1:8" x14ac:dyDescent="0.25">
      <c r="A110" s="132">
        <v>40560</v>
      </c>
      <c r="B110" s="3" t="s">
        <v>371</v>
      </c>
      <c r="C110" s="3" t="s">
        <v>248</v>
      </c>
      <c r="D110" s="3" t="s">
        <v>364</v>
      </c>
      <c r="E110" s="3" t="s">
        <v>385</v>
      </c>
      <c r="F110" s="3">
        <v>15</v>
      </c>
      <c r="G110" s="91">
        <v>405</v>
      </c>
      <c r="H110" s="91">
        <v>217.5</v>
      </c>
    </row>
    <row r="111" spans="1:8" x14ac:dyDescent="0.25">
      <c r="A111" s="132">
        <v>40573</v>
      </c>
      <c r="B111" s="3" t="s">
        <v>363</v>
      </c>
      <c r="C111" s="3" t="s">
        <v>361</v>
      </c>
      <c r="D111" s="3" t="s">
        <v>364</v>
      </c>
      <c r="E111" s="3" t="s">
        <v>381</v>
      </c>
      <c r="F111" s="3">
        <v>42</v>
      </c>
      <c r="G111" s="91">
        <v>798</v>
      </c>
      <c r="H111" s="91">
        <v>336</v>
      </c>
    </row>
    <row r="112" spans="1:8" x14ac:dyDescent="0.25">
      <c r="A112" s="132">
        <v>40559</v>
      </c>
      <c r="B112" s="3" t="s">
        <v>369</v>
      </c>
      <c r="C112" s="3" t="s">
        <v>361</v>
      </c>
      <c r="D112" s="3" t="s">
        <v>377</v>
      </c>
      <c r="E112" s="3" t="s">
        <v>368</v>
      </c>
      <c r="F112" s="3">
        <v>31</v>
      </c>
      <c r="G112" s="91">
        <v>651</v>
      </c>
      <c r="H112" s="91">
        <v>286.75</v>
      </c>
    </row>
    <row r="113" spans="1:8" x14ac:dyDescent="0.25">
      <c r="A113" s="132">
        <v>40562</v>
      </c>
      <c r="B113" s="3" t="s">
        <v>369</v>
      </c>
      <c r="C113" s="3" t="s">
        <v>247</v>
      </c>
      <c r="D113" s="3" t="s">
        <v>382</v>
      </c>
      <c r="E113" s="3" t="s">
        <v>387</v>
      </c>
      <c r="F113" s="3">
        <v>32</v>
      </c>
      <c r="G113" s="91">
        <v>672</v>
      </c>
      <c r="H113" s="91">
        <v>296</v>
      </c>
    </row>
    <row r="114" spans="1:8" x14ac:dyDescent="0.25">
      <c r="A114" s="132">
        <v>40548</v>
      </c>
      <c r="B114" s="3" t="s">
        <v>367</v>
      </c>
      <c r="C114" s="3" t="s">
        <v>362</v>
      </c>
      <c r="D114" s="3" t="s">
        <v>349</v>
      </c>
      <c r="E114" s="3" t="s">
        <v>386</v>
      </c>
      <c r="F114" s="3">
        <v>34</v>
      </c>
      <c r="G114" s="91">
        <v>782</v>
      </c>
      <c r="H114" s="91">
        <v>374</v>
      </c>
    </row>
    <row r="115" spans="1:8" x14ac:dyDescent="0.25">
      <c r="A115" s="132">
        <v>40561</v>
      </c>
      <c r="B115" s="3" t="s">
        <v>367</v>
      </c>
      <c r="C115" s="3" t="s">
        <v>248</v>
      </c>
      <c r="D115" s="3" t="s">
        <v>246</v>
      </c>
      <c r="E115" s="3" t="s">
        <v>396</v>
      </c>
      <c r="F115" s="3">
        <v>50</v>
      </c>
      <c r="G115" s="91">
        <v>1150</v>
      </c>
      <c r="H115" s="91">
        <v>550</v>
      </c>
    </row>
    <row r="116" spans="1:8" x14ac:dyDescent="0.25">
      <c r="A116" s="132">
        <v>40551</v>
      </c>
      <c r="B116" s="3" t="s">
        <v>363</v>
      </c>
      <c r="C116" s="3" t="s">
        <v>362</v>
      </c>
      <c r="D116" s="3" t="s">
        <v>349</v>
      </c>
      <c r="E116" s="3" t="s">
        <v>394</v>
      </c>
      <c r="F116" s="3">
        <v>53</v>
      </c>
      <c r="G116" s="91">
        <v>1007</v>
      </c>
      <c r="H116" s="91">
        <v>424</v>
      </c>
    </row>
    <row r="117" spans="1:8" x14ac:dyDescent="0.25">
      <c r="A117" s="132">
        <v>40553</v>
      </c>
      <c r="B117" s="3" t="s">
        <v>371</v>
      </c>
      <c r="C117" s="3" t="s">
        <v>361</v>
      </c>
      <c r="D117" s="3" t="s">
        <v>349</v>
      </c>
      <c r="E117" s="3" t="s">
        <v>401</v>
      </c>
      <c r="F117" s="3">
        <v>27</v>
      </c>
      <c r="G117" s="91">
        <v>729</v>
      </c>
      <c r="H117" s="91">
        <v>391.5</v>
      </c>
    </row>
    <row r="118" spans="1:8" x14ac:dyDescent="0.25">
      <c r="A118" s="132">
        <v>40548</v>
      </c>
      <c r="B118" s="3" t="s">
        <v>373</v>
      </c>
      <c r="C118" s="3" t="s">
        <v>248</v>
      </c>
      <c r="D118" s="3" t="s">
        <v>382</v>
      </c>
      <c r="E118" s="3" t="s">
        <v>386</v>
      </c>
      <c r="F118" s="3">
        <v>23</v>
      </c>
      <c r="G118" s="91">
        <v>506</v>
      </c>
      <c r="H118" s="91">
        <v>230</v>
      </c>
    </row>
    <row r="119" spans="1:8" x14ac:dyDescent="0.25">
      <c r="A119" s="132">
        <v>40558</v>
      </c>
      <c r="B119" s="3" t="s">
        <v>371</v>
      </c>
      <c r="C119" s="3" t="s">
        <v>247</v>
      </c>
      <c r="D119" s="3" t="s">
        <v>246</v>
      </c>
      <c r="E119" s="3" t="s">
        <v>395</v>
      </c>
      <c r="F119" s="3">
        <v>12</v>
      </c>
      <c r="G119" s="91">
        <v>324</v>
      </c>
      <c r="H119" s="91">
        <v>174</v>
      </c>
    </row>
    <row r="120" spans="1:8" x14ac:dyDescent="0.25">
      <c r="A120" s="132">
        <v>40560</v>
      </c>
      <c r="B120" s="3" t="s">
        <v>371</v>
      </c>
      <c r="C120" s="3" t="s">
        <v>247</v>
      </c>
      <c r="D120" s="3" t="s">
        <v>246</v>
      </c>
      <c r="E120" s="3" t="s">
        <v>389</v>
      </c>
      <c r="F120" s="3">
        <v>50</v>
      </c>
      <c r="G120" s="91">
        <v>1350</v>
      </c>
      <c r="H120" s="91">
        <v>725</v>
      </c>
    </row>
    <row r="121" spans="1:8" x14ac:dyDescent="0.25">
      <c r="A121" s="132">
        <v>40569</v>
      </c>
      <c r="B121" s="3" t="s">
        <v>363</v>
      </c>
      <c r="C121" s="3" t="s">
        <v>361</v>
      </c>
      <c r="D121" s="3" t="s">
        <v>374</v>
      </c>
      <c r="E121" s="3" t="s">
        <v>396</v>
      </c>
      <c r="F121" s="3">
        <v>49</v>
      </c>
      <c r="G121" s="91">
        <v>931</v>
      </c>
      <c r="H121" s="91">
        <v>392</v>
      </c>
    </row>
    <row r="122" spans="1:8" x14ac:dyDescent="0.25">
      <c r="A122" s="132">
        <v>40554</v>
      </c>
      <c r="B122" s="3" t="s">
        <v>369</v>
      </c>
      <c r="C122" s="3" t="s">
        <v>362</v>
      </c>
      <c r="D122" s="3" t="s">
        <v>374</v>
      </c>
      <c r="E122" s="3" t="s">
        <v>389</v>
      </c>
      <c r="F122" s="3">
        <v>17</v>
      </c>
      <c r="G122" s="91">
        <v>357</v>
      </c>
      <c r="H122" s="91">
        <v>157.25</v>
      </c>
    </row>
    <row r="123" spans="1:8" x14ac:dyDescent="0.25">
      <c r="A123" s="132">
        <v>40547</v>
      </c>
      <c r="B123" s="3" t="s">
        <v>371</v>
      </c>
      <c r="C123" s="3" t="s">
        <v>362</v>
      </c>
      <c r="D123" s="3" t="s">
        <v>349</v>
      </c>
      <c r="E123" s="3" t="s">
        <v>376</v>
      </c>
      <c r="F123" s="3">
        <v>12</v>
      </c>
      <c r="G123" s="91">
        <v>324</v>
      </c>
      <c r="H123" s="91">
        <v>174</v>
      </c>
    </row>
    <row r="124" spans="1:8" x14ac:dyDescent="0.25">
      <c r="A124" s="132">
        <v>40564</v>
      </c>
      <c r="B124" s="3" t="s">
        <v>367</v>
      </c>
      <c r="C124" s="3" t="s">
        <v>361</v>
      </c>
      <c r="D124" s="3" t="s">
        <v>246</v>
      </c>
      <c r="E124" s="3" t="s">
        <v>398</v>
      </c>
      <c r="F124" s="3">
        <v>53</v>
      </c>
      <c r="G124" s="91">
        <v>1219</v>
      </c>
      <c r="H124" s="91">
        <v>583</v>
      </c>
    </row>
    <row r="125" spans="1:8" x14ac:dyDescent="0.25">
      <c r="A125" s="132">
        <v>40565</v>
      </c>
      <c r="B125" s="3" t="s">
        <v>369</v>
      </c>
      <c r="C125" s="3" t="s">
        <v>247</v>
      </c>
      <c r="D125" s="3" t="s">
        <v>364</v>
      </c>
      <c r="E125" s="3" t="s">
        <v>391</v>
      </c>
      <c r="F125" s="3">
        <v>41</v>
      </c>
      <c r="G125" s="91">
        <v>861</v>
      </c>
      <c r="H125" s="91">
        <v>379.25</v>
      </c>
    </row>
    <row r="126" spans="1:8" x14ac:dyDescent="0.25">
      <c r="A126" s="132">
        <v>40553</v>
      </c>
      <c r="B126" s="3" t="s">
        <v>363</v>
      </c>
      <c r="C126" s="3" t="s">
        <v>248</v>
      </c>
      <c r="D126" s="3" t="s">
        <v>364</v>
      </c>
      <c r="E126" s="3" t="s">
        <v>368</v>
      </c>
      <c r="F126" s="3">
        <v>8</v>
      </c>
      <c r="G126" s="91">
        <v>152</v>
      </c>
      <c r="H126" s="91">
        <v>64</v>
      </c>
    </row>
    <row r="127" spans="1:8" x14ac:dyDescent="0.25">
      <c r="A127" s="132">
        <v>40555</v>
      </c>
      <c r="B127" s="3" t="s">
        <v>369</v>
      </c>
      <c r="C127" s="3" t="s">
        <v>362</v>
      </c>
      <c r="D127" s="3" t="s">
        <v>364</v>
      </c>
      <c r="E127" s="3" t="s">
        <v>387</v>
      </c>
      <c r="F127" s="3">
        <v>47</v>
      </c>
      <c r="G127" s="91">
        <v>987</v>
      </c>
      <c r="H127" s="91">
        <v>434.75</v>
      </c>
    </row>
  </sheetData>
  <conditionalFormatting sqref="B23:H127">
    <cfRule type="expression" dxfId="0" priority="1">
      <formula>AND($B23=$J$24,$C23=$L$22)</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76"/>
  <sheetViews>
    <sheetView workbookViewId="0">
      <selection activeCell="C21" sqref="C21"/>
    </sheetView>
  </sheetViews>
  <sheetFormatPr defaultRowHeight="15" x14ac:dyDescent="0.25"/>
  <cols>
    <col min="1" max="1" width="3.28515625" customWidth="1"/>
    <col min="2" max="2" width="5.5703125" customWidth="1"/>
    <col min="3" max="3" width="31.85546875" customWidth="1"/>
    <col min="4" max="4" width="17.140625" customWidth="1"/>
    <col min="5" max="5" width="13" customWidth="1"/>
    <col min="6" max="6" width="17.85546875" customWidth="1"/>
    <col min="7" max="7" width="13.140625" customWidth="1"/>
    <col min="8" max="8" width="12.28515625" customWidth="1"/>
    <col min="9" max="10" width="10.140625" customWidth="1"/>
    <col min="11" max="11" width="6" customWidth="1"/>
    <col min="12" max="12" width="1.7109375" customWidth="1"/>
  </cols>
  <sheetData>
    <row r="1" spans="1:12" x14ac:dyDescent="0.25">
      <c r="A1" s="5">
        <v>1</v>
      </c>
      <c r="B1" s="5" t="s">
        <v>6</v>
      </c>
      <c r="C1" s="5"/>
      <c r="D1" s="5"/>
      <c r="E1" s="5"/>
      <c r="F1" s="5"/>
      <c r="G1" s="5"/>
      <c r="H1" s="5"/>
    </row>
    <row r="2" spans="1:12" x14ac:dyDescent="0.25">
      <c r="A2" s="5"/>
      <c r="B2" s="6" t="s">
        <v>7</v>
      </c>
      <c r="C2" s="7"/>
      <c r="D2" s="7"/>
      <c r="E2" s="7"/>
      <c r="F2" s="8"/>
    </row>
    <row r="3" spans="1:12" x14ac:dyDescent="0.25">
      <c r="A3" s="5"/>
      <c r="B3" s="9" t="s">
        <v>8</v>
      </c>
      <c r="C3" s="10"/>
      <c r="D3" s="10"/>
      <c r="E3" s="10"/>
      <c r="F3" s="11"/>
    </row>
    <row r="4" spans="1:12" x14ac:dyDescent="0.25">
      <c r="A4" s="5"/>
      <c r="B4" s="12" t="s">
        <v>9</v>
      </c>
      <c r="C4" s="13"/>
      <c r="D4" s="13"/>
      <c r="E4" s="13"/>
      <c r="F4" s="14"/>
    </row>
    <row r="5" spans="1:12" x14ac:dyDescent="0.25">
      <c r="A5" s="5"/>
    </row>
    <row r="6" spans="1:12" x14ac:dyDescent="0.25">
      <c r="A6" s="5">
        <v>2</v>
      </c>
      <c r="B6" s="5" t="s">
        <v>10</v>
      </c>
      <c r="C6" s="5"/>
      <c r="D6" s="5"/>
      <c r="E6" s="5"/>
      <c r="F6" s="5"/>
      <c r="G6" s="5"/>
      <c r="H6" s="5"/>
      <c r="I6" s="5"/>
      <c r="J6" s="5"/>
      <c r="K6" s="5"/>
    </row>
    <row r="7" spans="1:12" x14ac:dyDescent="0.25">
      <c r="A7" s="5"/>
      <c r="B7" s="15">
        <v>1</v>
      </c>
      <c r="C7" s="16" t="s">
        <v>11</v>
      </c>
      <c r="D7" s="16"/>
      <c r="E7" s="16"/>
      <c r="F7" s="17"/>
      <c r="G7" s="17"/>
      <c r="H7" s="17"/>
      <c r="I7" s="17"/>
      <c r="J7" s="17"/>
      <c r="K7" s="17"/>
      <c r="L7" s="18"/>
    </row>
    <row r="8" spans="1:12" x14ac:dyDescent="0.25">
      <c r="A8" s="5"/>
      <c r="B8" s="19">
        <v>2</v>
      </c>
      <c r="C8" s="20" t="s">
        <v>12</v>
      </c>
      <c r="D8" s="20"/>
      <c r="E8" s="20"/>
      <c r="F8" s="21"/>
      <c r="G8" s="21"/>
      <c r="H8" s="21"/>
      <c r="I8" s="21"/>
      <c r="J8" s="21"/>
      <c r="K8" s="21"/>
      <c r="L8" s="22"/>
    </row>
    <row r="9" spans="1:12" x14ac:dyDescent="0.25">
      <c r="A9" s="5"/>
      <c r="B9" s="19">
        <v>3</v>
      </c>
      <c r="C9" s="20" t="s">
        <v>13</v>
      </c>
      <c r="D9" s="20"/>
      <c r="E9" s="20"/>
      <c r="F9" s="21"/>
      <c r="G9" s="21"/>
      <c r="H9" s="21"/>
      <c r="I9" s="21"/>
      <c r="J9" s="21"/>
      <c r="K9" s="21"/>
      <c r="L9" s="22"/>
    </row>
    <row r="10" spans="1:12" x14ac:dyDescent="0.25">
      <c r="A10" s="5"/>
      <c r="B10" s="19">
        <v>4</v>
      </c>
      <c r="C10" s="20" t="s">
        <v>14</v>
      </c>
      <c r="D10" s="20"/>
      <c r="E10" s="20"/>
      <c r="F10" s="21"/>
      <c r="G10" s="21"/>
      <c r="H10" s="21"/>
      <c r="I10" s="21"/>
      <c r="J10" s="21"/>
      <c r="K10" s="21"/>
      <c r="L10" s="22"/>
    </row>
    <row r="11" spans="1:12" x14ac:dyDescent="0.25">
      <c r="A11" s="5"/>
      <c r="B11" s="19">
        <v>5</v>
      </c>
      <c r="C11" s="23" t="s">
        <v>612</v>
      </c>
      <c r="D11" s="20"/>
      <c r="E11" s="20"/>
      <c r="F11" s="21"/>
      <c r="G11" s="21"/>
      <c r="H11" s="21"/>
      <c r="I11" s="21"/>
      <c r="J11" s="21"/>
      <c r="K11" s="21"/>
      <c r="L11" s="22"/>
    </row>
    <row r="12" spans="1:12" x14ac:dyDescent="0.25">
      <c r="A12" s="5"/>
      <c r="B12" s="24"/>
      <c r="C12" s="25" t="s">
        <v>15</v>
      </c>
      <c r="D12" s="32"/>
      <c r="E12" s="25"/>
      <c r="F12" s="25"/>
      <c r="G12" s="25"/>
      <c r="H12" s="25"/>
      <c r="I12" s="25"/>
      <c r="J12" s="25"/>
      <c r="K12" s="25"/>
      <c r="L12" s="26"/>
    </row>
    <row r="13" spans="1:12" x14ac:dyDescent="0.25">
      <c r="A13" s="5"/>
    </row>
    <row r="14" spans="1:12" x14ac:dyDescent="0.25">
      <c r="A14" s="5">
        <v>3</v>
      </c>
      <c r="B14" s="5" t="s">
        <v>16</v>
      </c>
      <c r="C14" s="5"/>
      <c r="D14" s="5"/>
      <c r="E14" s="5"/>
      <c r="F14" s="5"/>
      <c r="G14" s="5"/>
      <c r="H14" s="5"/>
      <c r="I14" s="5"/>
      <c r="J14" s="5"/>
    </row>
    <row r="15" spans="1:12" x14ac:dyDescent="0.25">
      <c r="A15" s="5"/>
      <c r="B15" s="15">
        <v>1</v>
      </c>
      <c r="C15" s="16" t="s">
        <v>17</v>
      </c>
      <c r="D15" s="17"/>
      <c r="E15" s="17"/>
      <c r="F15" s="17"/>
      <c r="G15" s="17"/>
      <c r="H15" s="17"/>
      <c r="I15" s="18"/>
    </row>
    <row r="16" spans="1:12" x14ac:dyDescent="0.25">
      <c r="A16" s="5"/>
      <c r="B16" s="19">
        <v>2</v>
      </c>
      <c r="C16" s="20" t="s">
        <v>18</v>
      </c>
      <c r="D16" s="21"/>
      <c r="E16" s="21"/>
      <c r="F16" s="21"/>
      <c r="G16" s="21"/>
      <c r="H16" s="21"/>
      <c r="I16" s="22"/>
    </row>
    <row r="17" spans="1:9" x14ac:dyDescent="0.25">
      <c r="A17" s="5"/>
      <c r="B17" s="19">
        <v>3</v>
      </c>
      <c r="C17" s="20" t="s">
        <v>19</v>
      </c>
      <c r="D17" s="21"/>
      <c r="E17" s="21"/>
      <c r="F17" s="21"/>
      <c r="G17" s="21"/>
      <c r="H17" s="21"/>
      <c r="I17" s="22"/>
    </row>
    <row r="18" spans="1:9" x14ac:dyDescent="0.25">
      <c r="A18" s="5"/>
      <c r="B18" s="19">
        <v>4</v>
      </c>
      <c r="C18" s="20" t="s">
        <v>20</v>
      </c>
      <c r="D18" s="21"/>
      <c r="E18" s="21"/>
      <c r="F18" s="21"/>
      <c r="G18" s="21"/>
      <c r="H18" s="21"/>
      <c r="I18" s="22"/>
    </row>
    <row r="19" spans="1:9" x14ac:dyDescent="0.25">
      <c r="A19" s="5"/>
      <c r="B19" s="19">
        <v>5</v>
      </c>
      <c r="C19" s="20" t="s">
        <v>21</v>
      </c>
      <c r="D19" s="21"/>
      <c r="E19" s="21"/>
      <c r="F19" s="21"/>
      <c r="G19" s="21"/>
      <c r="H19" s="21"/>
      <c r="I19" s="22"/>
    </row>
    <row r="20" spans="1:9" x14ac:dyDescent="0.25">
      <c r="A20" s="5"/>
      <c r="B20" s="27">
        <v>6</v>
      </c>
      <c r="C20" s="28" t="s">
        <v>691</v>
      </c>
      <c r="D20" s="203"/>
      <c r="E20" s="29"/>
      <c r="F20" s="29"/>
      <c r="G20" s="29"/>
      <c r="H20" s="29"/>
      <c r="I20" s="30"/>
    </row>
    <row r="21" spans="1:9" x14ac:dyDescent="0.25">
      <c r="A21" s="5"/>
      <c r="B21" s="27"/>
      <c r="C21" s="28" t="s">
        <v>692</v>
      </c>
      <c r="D21" s="29"/>
      <c r="E21" s="29"/>
      <c r="F21" s="29"/>
      <c r="G21" s="29"/>
      <c r="H21" s="29"/>
      <c r="I21" s="30"/>
    </row>
    <row r="22" spans="1:9" x14ac:dyDescent="0.25">
      <c r="A22" s="5"/>
      <c r="B22" s="19">
        <v>7</v>
      </c>
      <c r="C22" s="20" t="s">
        <v>22</v>
      </c>
      <c r="D22" s="21"/>
      <c r="E22" s="21"/>
      <c r="F22" s="21"/>
      <c r="G22" s="21"/>
      <c r="H22" s="21"/>
      <c r="I22" s="22"/>
    </row>
    <row r="23" spans="1:9" x14ac:dyDescent="0.25">
      <c r="A23" s="5"/>
      <c r="B23" s="19">
        <v>8</v>
      </c>
      <c r="C23" s="20" t="s">
        <v>23</v>
      </c>
      <c r="D23" s="21"/>
      <c r="E23" s="21"/>
      <c r="F23" s="21"/>
      <c r="G23" s="21"/>
      <c r="H23" s="21"/>
      <c r="I23" s="22"/>
    </row>
    <row r="24" spans="1:9" x14ac:dyDescent="0.25">
      <c r="A24" s="5"/>
      <c r="B24" s="19">
        <v>9</v>
      </c>
      <c r="C24" s="20" t="s">
        <v>24</v>
      </c>
      <c r="D24" s="21"/>
      <c r="E24" s="21"/>
      <c r="F24" s="21"/>
      <c r="G24" s="21"/>
      <c r="H24" s="21"/>
      <c r="I24" s="22"/>
    </row>
    <row r="25" spans="1:9" x14ac:dyDescent="0.25">
      <c r="A25" s="5"/>
      <c r="B25" s="31">
        <v>10</v>
      </c>
      <c r="C25" s="32" t="s">
        <v>25</v>
      </c>
      <c r="D25" s="25"/>
      <c r="E25" s="25"/>
      <c r="F25" s="25"/>
      <c r="G25" s="25"/>
      <c r="H25" s="25"/>
      <c r="I25" s="26"/>
    </row>
    <row r="26" spans="1:9" x14ac:dyDescent="0.25">
      <c r="A26" s="5"/>
      <c r="C26" s="2"/>
    </row>
    <row r="27" spans="1:9" x14ac:dyDescent="0.25">
      <c r="A27" s="5">
        <v>4</v>
      </c>
      <c r="B27" s="5" t="s">
        <v>26</v>
      </c>
      <c r="C27" s="5"/>
    </row>
    <row r="28" spans="1:9" x14ac:dyDescent="0.25">
      <c r="A28" s="5"/>
      <c r="B28" s="33" t="s">
        <v>27</v>
      </c>
      <c r="C28" s="34" t="s">
        <v>28</v>
      </c>
    </row>
    <row r="29" spans="1:9" x14ac:dyDescent="0.25">
      <c r="A29" s="5"/>
      <c r="B29" s="35" t="s">
        <v>29</v>
      </c>
      <c r="C29" s="36" t="s">
        <v>30</v>
      </c>
    </row>
    <row r="30" spans="1:9" x14ac:dyDescent="0.25">
      <c r="A30" s="5"/>
      <c r="B30" s="35" t="s">
        <v>31</v>
      </c>
      <c r="C30" s="36" t="s">
        <v>32</v>
      </c>
    </row>
    <row r="31" spans="1:9" x14ac:dyDescent="0.25">
      <c r="A31" s="5"/>
      <c r="B31" s="35" t="s">
        <v>33</v>
      </c>
      <c r="C31" s="36" t="s">
        <v>34</v>
      </c>
    </row>
    <row r="32" spans="1:9" x14ac:dyDescent="0.25">
      <c r="A32" s="5"/>
      <c r="B32" s="35" t="s">
        <v>35</v>
      </c>
      <c r="C32" s="36" t="s">
        <v>36</v>
      </c>
    </row>
    <row r="33" spans="1:11" x14ac:dyDescent="0.25">
      <c r="A33" s="5"/>
      <c r="B33" s="37" t="s">
        <v>37</v>
      </c>
      <c r="C33" s="38" t="s">
        <v>38</v>
      </c>
    </row>
    <row r="34" spans="1:11" x14ac:dyDescent="0.25">
      <c r="A34" s="5"/>
      <c r="C34" s="2"/>
    </row>
    <row r="35" spans="1:11" x14ac:dyDescent="0.25">
      <c r="A35" s="5">
        <v>5</v>
      </c>
      <c r="B35" s="5" t="s">
        <v>39</v>
      </c>
      <c r="C35" s="5"/>
      <c r="D35" s="5"/>
      <c r="E35" s="5"/>
      <c r="F35" s="5"/>
      <c r="G35" s="5"/>
    </row>
    <row r="36" spans="1:11" x14ac:dyDescent="0.25">
      <c r="A36" s="5"/>
      <c r="B36" s="33" t="s">
        <v>40</v>
      </c>
      <c r="C36" s="16" t="s">
        <v>41</v>
      </c>
      <c r="D36" s="17"/>
      <c r="E36" s="17"/>
      <c r="F36" s="17"/>
      <c r="G36" s="18"/>
    </row>
    <row r="37" spans="1:11" x14ac:dyDescent="0.25">
      <c r="A37" s="5"/>
      <c r="B37" s="35" t="s">
        <v>42</v>
      </c>
      <c r="C37" s="20" t="s">
        <v>43</v>
      </c>
      <c r="D37" s="21"/>
      <c r="E37" s="21"/>
      <c r="F37" s="21"/>
      <c r="G37" s="22"/>
    </row>
    <row r="38" spans="1:11" x14ac:dyDescent="0.25">
      <c r="A38" s="5"/>
      <c r="B38" s="35" t="s">
        <v>44</v>
      </c>
      <c r="C38" s="20" t="s">
        <v>45</v>
      </c>
      <c r="D38" s="21"/>
      <c r="E38" s="21"/>
      <c r="F38" s="21"/>
      <c r="G38" s="22"/>
    </row>
    <row r="39" spans="1:11" x14ac:dyDescent="0.25">
      <c r="A39" s="5"/>
      <c r="B39" s="35" t="s">
        <v>46</v>
      </c>
      <c r="C39" s="20" t="s">
        <v>47</v>
      </c>
      <c r="D39" s="21"/>
      <c r="E39" s="21"/>
      <c r="F39" s="21"/>
      <c r="G39" s="22"/>
    </row>
    <row r="40" spans="1:11" x14ac:dyDescent="0.25">
      <c r="A40" s="5"/>
      <c r="B40" s="35" t="s">
        <v>48</v>
      </c>
      <c r="C40" s="20" t="s">
        <v>49</v>
      </c>
      <c r="D40" s="21"/>
      <c r="E40" s="21"/>
      <c r="F40" s="21"/>
      <c r="G40" s="22"/>
    </row>
    <row r="41" spans="1:11" x14ac:dyDescent="0.25">
      <c r="A41" s="5"/>
      <c r="B41" s="37" t="s">
        <v>50</v>
      </c>
      <c r="C41" s="32" t="s">
        <v>51</v>
      </c>
      <c r="D41" s="25"/>
      <c r="E41" s="25"/>
      <c r="F41" s="25"/>
      <c r="G41" s="26"/>
    </row>
    <row r="42" spans="1:11" x14ac:dyDescent="0.25">
      <c r="A42" s="5"/>
      <c r="C42" s="2"/>
    </row>
    <row r="43" spans="1:11" x14ac:dyDescent="0.25">
      <c r="A43" s="5">
        <v>6</v>
      </c>
      <c r="B43" s="5" t="s">
        <v>70</v>
      </c>
      <c r="C43" s="5"/>
    </row>
    <row r="44" spans="1:11" x14ac:dyDescent="0.25">
      <c r="A44" s="5"/>
      <c r="B44" s="39">
        <v>1</v>
      </c>
      <c r="C44" s="16" t="s">
        <v>71</v>
      </c>
      <c r="D44" s="17"/>
      <c r="E44" s="17"/>
      <c r="F44" s="17"/>
      <c r="G44" s="17"/>
      <c r="H44" s="17"/>
      <c r="I44" s="17"/>
      <c r="J44" s="17"/>
      <c r="K44" s="18"/>
    </row>
    <row r="45" spans="1:11" x14ac:dyDescent="0.25">
      <c r="A45" s="5"/>
      <c r="B45" s="41">
        <v>2</v>
      </c>
      <c r="C45" s="20" t="s">
        <v>72</v>
      </c>
      <c r="D45" s="21"/>
      <c r="E45" s="21"/>
      <c r="F45" s="21"/>
      <c r="G45" s="21"/>
      <c r="H45" s="21"/>
      <c r="I45" s="21"/>
      <c r="J45" s="21"/>
      <c r="K45" s="22"/>
    </row>
    <row r="46" spans="1:11" x14ac:dyDescent="0.25">
      <c r="A46" s="5"/>
      <c r="B46" s="41">
        <v>3</v>
      </c>
      <c r="C46" s="23" t="s">
        <v>73</v>
      </c>
      <c r="D46" s="21"/>
      <c r="E46" s="21"/>
      <c r="F46" s="21"/>
      <c r="G46" s="21"/>
      <c r="H46" s="21"/>
      <c r="I46" s="21"/>
      <c r="J46" s="21"/>
      <c r="K46" s="22"/>
    </row>
    <row r="47" spans="1:11" x14ac:dyDescent="0.25">
      <c r="A47" s="5"/>
      <c r="B47" s="41"/>
      <c r="C47" s="42" t="s">
        <v>74</v>
      </c>
      <c r="D47" s="21"/>
      <c r="E47" s="21"/>
      <c r="F47" s="21"/>
      <c r="G47" s="21"/>
      <c r="H47" s="21"/>
      <c r="I47" s="21"/>
      <c r="J47" s="21"/>
      <c r="K47" s="22"/>
    </row>
    <row r="48" spans="1:11" x14ac:dyDescent="0.25">
      <c r="A48" s="5"/>
      <c r="B48" s="41"/>
      <c r="C48" s="42" t="s">
        <v>75</v>
      </c>
      <c r="D48" s="21"/>
      <c r="E48" s="21"/>
      <c r="F48" s="21"/>
      <c r="G48" s="21"/>
      <c r="H48" s="21"/>
      <c r="I48" s="21"/>
      <c r="J48" s="21"/>
      <c r="K48" s="22"/>
    </row>
    <row r="49" spans="1:11" x14ac:dyDescent="0.25">
      <c r="A49" s="5"/>
      <c r="B49" s="41"/>
      <c r="C49" s="43" t="s">
        <v>76</v>
      </c>
      <c r="D49" s="21"/>
      <c r="E49" s="21"/>
      <c r="F49" s="21"/>
      <c r="G49" s="21"/>
      <c r="H49" s="21"/>
      <c r="I49" s="21"/>
      <c r="J49" s="21"/>
      <c r="K49" s="22"/>
    </row>
    <row r="50" spans="1:11" x14ac:dyDescent="0.25">
      <c r="A50" s="5"/>
      <c r="B50" s="24"/>
      <c r="C50" s="44" t="s">
        <v>77</v>
      </c>
      <c r="D50" s="25"/>
      <c r="E50" s="25"/>
      <c r="F50" s="25"/>
      <c r="G50" s="25"/>
      <c r="H50" s="25"/>
      <c r="I50" s="25"/>
      <c r="J50" s="25"/>
      <c r="K50" s="26"/>
    </row>
    <row r="51" spans="1:11" x14ac:dyDescent="0.25">
      <c r="A51" s="5"/>
      <c r="C51" s="2"/>
      <c r="F51" s="45"/>
      <c r="G51" s="46"/>
    </row>
    <row r="52" spans="1:11" x14ac:dyDescent="0.25">
      <c r="A52" s="5">
        <v>7</v>
      </c>
      <c r="B52" s="5" t="s">
        <v>78</v>
      </c>
      <c r="C52" s="5"/>
      <c r="D52" s="5"/>
    </row>
    <row r="53" spans="1:11" x14ac:dyDescent="0.25">
      <c r="A53" s="5"/>
      <c r="B53" s="47">
        <v>1</v>
      </c>
      <c r="C53" s="48" t="s">
        <v>79</v>
      </c>
      <c r="D53" s="48" t="s">
        <v>80</v>
      </c>
    </row>
    <row r="54" spans="1:11" x14ac:dyDescent="0.25">
      <c r="A54" s="5"/>
      <c r="B54" s="47">
        <v>2</v>
      </c>
      <c r="C54" s="48" t="s">
        <v>81</v>
      </c>
      <c r="D54" s="48">
        <v>43</v>
      </c>
    </row>
    <row r="55" spans="1:11" x14ac:dyDescent="0.25">
      <c r="A55" s="5"/>
      <c r="B55" s="47">
        <v>3</v>
      </c>
      <c r="C55" s="48" t="s">
        <v>82</v>
      </c>
      <c r="D55" s="47" t="b">
        <v>1</v>
      </c>
    </row>
    <row r="56" spans="1:11" x14ac:dyDescent="0.25">
      <c r="A56" s="5"/>
      <c r="B56" s="47">
        <v>4</v>
      </c>
      <c r="C56" s="48" t="s">
        <v>83</v>
      </c>
      <c r="D56" s="47" t="e">
        <f>1/0</f>
        <v>#DIV/0!</v>
      </c>
    </row>
    <row r="57" spans="1:11" x14ac:dyDescent="0.25">
      <c r="A57" s="5"/>
      <c r="C57" s="2"/>
    </row>
    <row r="58" spans="1:11" x14ac:dyDescent="0.25">
      <c r="A58" s="5">
        <v>8</v>
      </c>
      <c r="B58" s="5" t="s">
        <v>52</v>
      </c>
      <c r="C58" s="5"/>
      <c r="D58" s="5"/>
      <c r="E58" s="5"/>
    </row>
    <row r="59" spans="1:11" x14ac:dyDescent="0.25">
      <c r="A59" s="5"/>
      <c r="B59" s="39">
        <v>1</v>
      </c>
      <c r="C59" s="17" t="s">
        <v>53</v>
      </c>
      <c r="D59" s="17"/>
      <c r="E59" s="17"/>
      <c r="F59" s="18"/>
    </row>
    <row r="60" spans="1:11" x14ac:dyDescent="0.25">
      <c r="A60" s="5"/>
      <c r="B60" s="40">
        <v>2</v>
      </c>
      <c r="C60" s="20" t="s">
        <v>54</v>
      </c>
      <c r="D60" s="20"/>
      <c r="E60" s="20"/>
      <c r="F60" s="22"/>
    </row>
    <row r="61" spans="1:11" x14ac:dyDescent="0.25">
      <c r="A61" s="5"/>
      <c r="B61" s="41"/>
      <c r="C61" s="42" t="s">
        <v>55</v>
      </c>
      <c r="D61" s="21"/>
      <c r="E61" s="21"/>
      <c r="F61" s="22"/>
    </row>
    <row r="62" spans="1:11" x14ac:dyDescent="0.25">
      <c r="A62" s="5"/>
      <c r="B62" s="41"/>
      <c r="C62" s="42" t="s">
        <v>56</v>
      </c>
      <c r="D62" s="21"/>
      <c r="E62" s="21"/>
      <c r="F62" s="22"/>
    </row>
    <row r="63" spans="1:11" x14ac:dyDescent="0.25">
      <c r="A63" s="5"/>
      <c r="B63" s="41"/>
      <c r="C63" s="42" t="s">
        <v>57</v>
      </c>
      <c r="D63" s="21"/>
      <c r="E63" s="21"/>
      <c r="F63" s="22"/>
    </row>
    <row r="64" spans="1:11" x14ac:dyDescent="0.25">
      <c r="A64" s="5"/>
      <c r="B64" s="41">
        <v>3</v>
      </c>
      <c r="C64" s="21" t="s">
        <v>58</v>
      </c>
      <c r="D64" s="21"/>
      <c r="E64" s="21"/>
      <c r="F64" s="22"/>
    </row>
    <row r="65" spans="1:6" x14ac:dyDescent="0.25">
      <c r="A65" s="5"/>
      <c r="B65" s="41"/>
      <c r="C65" s="42" t="s">
        <v>59</v>
      </c>
      <c r="D65" s="21"/>
      <c r="E65" s="21"/>
      <c r="F65" s="22"/>
    </row>
    <row r="66" spans="1:6" x14ac:dyDescent="0.25">
      <c r="A66" s="5"/>
      <c r="B66" s="41"/>
      <c r="C66" s="42" t="s">
        <v>60</v>
      </c>
      <c r="D66" s="21"/>
      <c r="E66" s="21"/>
      <c r="F66" s="22"/>
    </row>
    <row r="67" spans="1:6" x14ac:dyDescent="0.25">
      <c r="A67" s="5"/>
      <c r="B67" s="41"/>
      <c r="C67" s="42" t="s">
        <v>61</v>
      </c>
      <c r="D67" s="21"/>
      <c r="E67" s="21"/>
      <c r="F67" s="22"/>
    </row>
    <row r="68" spans="1:6" x14ac:dyDescent="0.25">
      <c r="A68" s="5"/>
      <c r="B68" s="41">
        <v>4</v>
      </c>
      <c r="C68" s="21" t="s">
        <v>62</v>
      </c>
      <c r="D68" s="21"/>
      <c r="E68" s="21"/>
      <c r="F68" s="22"/>
    </row>
    <row r="69" spans="1:6" x14ac:dyDescent="0.25">
      <c r="A69" s="5"/>
      <c r="B69" s="41">
        <v>5</v>
      </c>
      <c r="C69" s="21" t="s">
        <v>63</v>
      </c>
      <c r="D69" s="21"/>
      <c r="E69" s="21"/>
      <c r="F69" s="22"/>
    </row>
    <row r="70" spans="1:6" x14ac:dyDescent="0.25">
      <c r="A70" s="5"/>
      <c r="B70" s="41"/>
      <c r="C70" s="42" t="s">
        <v>64</v>
      </c>
      <c r="D70" s="21"/>
      <c r="E70" s="21"/>
      <c r="F70" s="22"/>
    </row>
    <row r="71" spans="1:6" x14ac:dyDescent="0.25">
      <c r="A71" s="5"/>
      <c r="B71" s="41"/>
      <c r="C71" s="42" t="s">
        <v>65</v>
      </c>
      <c r="D71" s="21"/>
      <c r="E71" s="21"/>
      <c r="F71" s="22"/>
    </row>
    <row r="72" spans="1:6" x14ac:dyDescent="0.25">
      <c r="A72" s="5"/>
      <c r="B72" s="41">
        <v>6</v>
      </c>
      <c r="C72" s="21" t="s">
        <v>66</v>
      </c>
      <c r="D72" s="21"/>
      <c r="E72" s="21"/>
      <c r="F72" s="22"/>
    </row>
    <row r="73" spans="1:6" x14ac:dyDescent="0.25">
      <c r="A73" s="5"/>
      <c r="B73" s="41">
        <v>7</v>
      </c>
      <c r="C73" s="21" t="s">
        <v>67</v>
      </c>
      <c r="D73" s="21"/>
      <c r="E73" s="21"/>
      <c r="F73" s="22"/>
    </row>
    <row r="74" spans="1:6" x14ac:dyDescent="0.25">
      <c r="A74" s="5"/>
      <c r="B74" s="41">
        <v>8</v>
      </c>
      <c r="C74" s="21" t="s">
        <v>68</v>
      </c>
      <c r="D74" s="21"/>
      <c r="E74" s="21"/>
      <c r="F74" s="22"/>
    </row>
    <row r="75" spans="1:6" x14ac:dyDescent="0.25">
      <c r="A75" s="5"/>
      <c r="B75" s="24">
        <v>9</v>
      </c>
      <c r="C75" s="25" t="s">
        <v>69</v>
      </c>
      <c r="D75" s="25"/>
      <c r="E75" s="25"/>
      <c r="F75" s="26"/>
    </row>
    <row r="76" spans="1:6" x14ac:dyDescent="0.25">
      <c r="A76" s="5"/>
      <c r="C76" s="2"/>
    </row>
  </sheetData>
  <printOptions horizontalCentered="1"/>
  <pageMargins left="0.7" right="0.7" top="0.75" bottom="0.75" header="0.3" footer="0.3"/>
  <pageSetup scale="87" orientation="landscape" r:id="rId1"/>
  <headerFooter>
    <oddFooter>&amp;L&amp;F&amp;CPage &amp;P of &amp;N&amp;R&amp;A</oddFooter>
  </headerFooter>
  <rowBreaks count="3" manualBreakCount="3">
    <brk id="26" max="16383" man="1"/>
    <brk id="56" max="16383" man="1"/>
    <brk id="7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23"/>
  <sheetViews>
    <sheetView zoomScale="112" zoomScaleNormal="112" workbookViewId="0">
      <selection activeCell="C21" sqref="C21"/>
    </sheetView>
  </sheetViews>
  <sheetFormatPr defaultRowHeight="15" x14ac:dyDescent="0.25"/>
  <cols>
    <col min="1" max="1" width="14.85546875" customWidth="1"/>
    <col min="2" max="6" width="13.85546875" customWidth="1"/>
    <col min="7" max="7" width="13.7109375" customWidth="1"/>
    <col min="8" max="8" width="10.5703125" bestFit="1" customWidth="1"/>
  </cols>
  <sheetData>
    <row r="1" spans="1:8" x14ac:dyDescent="0.25">
      <c r="A1" s="134" t="s">
        <v>403</v>
      </c>
      <c r="B1" s="134"/>
      <c r="C1" s="134"/>
      <c r="D1" s="134"/>
      <c r="E1" s="134"/>
      <c r="F1" s="134"/>
      <c r="G1" s="134"/>
      <c r="H1" s="134"/>
    </row>
    <row r="2" spans="1:8" x14ac:dyDescent="0.25">
      <c r="A2" s="3"/>
      <c r="B2" s="78" t="s">
        <v>220</v>
      </c>
      <c r="C2" s="78" t="s">
        <v>221</v>
      </c>
      <c r="D2" s="78" t="s">
        <v>231</v>
      </c>
      <c r="E2" s="78" t="s">
        <v>259</v>
      </c>
      <c r="F2" s="78" t="s">
        <v>260</v>
      </c>
      <c r="G2" s="78" t="s">
        <v>261</v>
      </c>
      <c r="H2" s="135" t="s">
        <v>404</v>
      </c>
    </row>
    <row r="3" spans="1:8" x14ac:dyDescent="0.25">
      <c r="A3" s="78" t="s">
        <v>193</v>
      </c>
      <c r="B3" s="136">
        <v>1000</v>
      </c>
      <c r="C3" s="136">
        <v>1250</v>
      </c>
      <c r="D3" s="136">
        <v>1370</v>
      </c>
      <c r="E3" s="136">
        <v>1250</v>
      </c>
      <c r="F3" s="136">
        <v>2000</v>
      </c>
      <c r="G3" s="136">
        <v>2215</v>
      </c>
      <c r="H3" s="137">
        <f t="shared" ref="H3:H10" si="0">SUM(B3:G3)</f>
        <v>9085</v>
      </c>
    </row>
    <row r="4" spans="1:8" x14ac:dyDescent="0.25">
      <c r="A4" s="78" t="str">
        <f t="shared" ref="A4:A9" si="1">A14</f>
        <v>COGS</v>
      </c>
      <c r="B4" s="138"/>
      <c r="C4" s="138"/>
      <c r="D4" s="138"/>
      <c r="E4" s="138"/>
      <c r="F4" s="138"/>
      <c r="G4" s="138"/>
      <c r="H4" s="137">
        <f t="shared" si="0"/>
        <v>0</v>
      </c>
    </row>
    <row r="5" spans="1:8" x14ac:dyDescent="0.25">
      <c r="A5" s="78" t="str">
        <f t="shared" si="1"/>
        <v>Office Expense</v>
      </c>
      <c r="B5" s="138"/>
      <c r="C5" s="138"/>
      <c r="D5" s="138"/>
      <c r="E5" s="138"/>
      <c r="F5" s="138"/>
      <c r="G5" s="138"/>
      <c r="H5" s="137">
        <f t="shared" si="0"/>
        <v>0</v>
      </c>
    </row>
    <row r="6" spans="1:8" x14ac:dyDescent="0.25">
      <c r="A6" s="78" t="str">
        <f t="shared" si="1"/>
        <v>Admin Expense</v>
      </c>
      <c r="B6" s="138"/>
      <c r="C6" s="138"/>
      <c r="D6" s="138"/>
      <c r="E6" s="138"/>
      <c r="F6" s="138"/>
      <c r="G6" s="138"/>
      <c r="H6" s="137">
        <f t="shared" si="0"/>
        <v>0</v>
      </c>
    </row>
    <row r="7" spans="1:8" x14ac:dyDescent="0.25">
      <c r="A7" s="78" t="str">
        <f t="shared" si="1"/>
        <v>Wage Expense</v>
      </c>
      <c r="B7" s="138"/>
      <c r="C7" s="138"/>
      <c r="D7" s="138"/>
      <c r="E7" s="138"/>
      <c r="F7" s="138"/>
      <c r="G7" s="138"/>
      <c r="H7" s="137">
        <f t="shared" si="0"/>
        <v>0</v>
      </c>
    </row>
    <row r="8" spans="1:8" x14ac:dyDescent="0.25">
      <c r="A8" s="78" t="str">
        <f t="shared" si="1"/>
        <v>Other Expense</v>
      </c>
      <c r="B8" s="138"/>
      <c r="C8" s="138"/>
      <c r="D8" s="138"/>
      <c r="E8" s="138"/>
      <c r="F8" s="138"/>
      <c r="G8" s="138"/>
      <c r="H8" s="137">
        <f t="shared" si="0"/>
        <v>0</v>
      </c>
    </row>
    <row r="9" spans="1:8" x14ac:dyDescent="0.25">
      <c r="A9" s="78" t="str">
        <f t="shared" si="1"/>
        <v>Depreciation</v>
      </c>
      <c r="B9" s="138"/>
      <c r="C9" s="138"/>
      <c r="D9" s="138"/>
      <c r="E9" s="138"/>
      <c r="F9" s="138"/>
      <c r="G9" s="138"/>
      <c r="H9" s="137">
        <f t="shared" si="0"/>
        <v>0</v>
      </c>
    </row>
    <row r="10" spans="1:8" x14ac:dyDescent="0.25">
      <c r="A10" s="135" t="s">
        <v>258</v>
      </c>
      <c r="B10" s="137">
        <f t="shared" ref="B10:G10" si="2">SUM(B4:B9)</f>
        <v>0</v>
      </c>
      <c r="C10" s="137">
        <f t="shared" si="2"/>
        <v>0</v>
      </c>
      <c r="D10" s="137">
        <f t="shared" si="2"/>
        <v>0</v>
      </c>
      <c r="E10" s="137">
        <f t="shared" si="2"/>
        <v>0</v>
      </c>
      <c r="F10" s="137">
        <f t="shared" si="2"/>
        <v>0</v>
      </c>
      <c r="G10" s="137">
        <f t="shared" si="2"/>
        <v>0</v>
      </c>
      <c r="H10" s="137">
        <f t="shared" si="0"/>
        <v>0</v>
      </c>
    </row>
    <row r="11" spans="1:8" x14ac:dyDescent="0.25">
      <c r="A11" s="78" t="s">
        <v>197</v>
      </c>
      <c r="B11" s="136">
        <f t="shared" ref="B11:H11" si="3">B3-B10</f>
        <v>1000</v>
      </c>
      <c r="C11" s="136">
        <f t="shared" si="3"/>
        <v>1250</v>
      </c>
      <c r="D11" s="136">
        <f t="shared" si="3"/>
        <v>1370</v>
      </c>
      <c r="E11" s="136">
        <f t="shared" si="3"/>
        <v>1250</v>
      </c>
      <c r="F11" s="136">
        <f t="shared" si="3"/>
        <v>2000</v>
      </c>
      <c r="G11" s="136">
        <f t="shared" si="3"/>
        <v>2215</v>
      </c>
      <c r="H11" s="136">
        <f t="shared" si="3"/>
        <v>9085</v>
      </c>
    </row>
    <row r="13" spans="1:8" x14ac:dyDescent="0.25">
      <c r="A13" s="109" t="s">
        <v>405</v>
      </c>
      <c r="B13" s="109"/>
    </row>
    <row r="14" spans="1:8" x14ac:dyDescent="0.25">
      <c r="A14" s="78" t="s">
        <v>202</v>
      </c>
      <c r="B14" s="139">
        <v>0.255</v>
      </c>
      <c r="D14" t="s">
        <v>665</v>
      </c>
    </row>
    <row r="15" spans="1:8" x14ac:dyDescent="0.25">
      <c r="A15" s="78" t="s">
        <v>650</v>
      </c>
      <c r="B15" s="139">
        <v>4.4999999999999998E-2</v>
      </c>
    </row>
    <row r="16" spans="1:8" x14ac:dyDescent="0.25">
      <c r="A16" s="78" t="s">
        <v>651</v>
      </c>
      <c r="B16" s="139">
        <v>7.4999999999999997E-2</v>
      </c>
      <c r="D16" t="s">
        <v>655</v>
      </c>
    </row>
    <row r="17" spans="1:6" x14ac:dyDescent="0.25">
      <c r="A17" s="78" t="s">
        <v>646</v>
      </c>
      <c r="B17" s="139">
        <v>0.22500000000000001</v>
      </c>
      <c r="D17" t="s">
        <v>656</v>
      </c>
    </row>
    <row r="18" spans="1:6" x14ac:dyDescent="0.25">
      <c r="A18" s="78" t="s">
        <v>483</v>
      </c>
      <c r="B18" s="139">
        <v>4.4999999999999998E-2</v>
      </c>
      <c r="D18" t="s">
        <v>657</v>
      </c>
    </row>
    <row r="19" spans="1:6" x14ac:dyDescent="0.25">
      <c r="A19" s="78" t="s">
        <v>649</v>
      </c>
      <c r="B19" s="139">
        <v>0.12</v>
      </c>
    </row>
    <row r="20" spans="1:6" x14ac:dyDescent="0.25">
      <c r="B20" s="197"/>
    </row>
    <row r="21" spans="1:6" x14ac:dyDescent="0.25">
      <c r="A21" s="109" t="s">
        <v>405</v>
      </c>
      <c r="B21" s="109"/>
      <c r="C21" s="109"/>
      <c r="D21" s="109"/>
      <c r="E21" s="109"/>
      <c r="F21" s="109"/>
    </row>
    <row r="22" spans="1:6" x14ac:dyDescent="0.25">
      <c r="A22" s="78" t="str">
        <f t="array" ref="A22:F23">TRANSPOSE(A14:B19)</f>
        <v>COGS</v>
      </c>
      <c r="B22" s="78" t="str">
        <v>Office Expense</v>
      </c>
      <c r="C22" s="78" t="str">
        <v>Admin Expense</v>
      </c>
      <c r="D22" s="78" t="str">
        <v>Wage Expense</v>
      </c>
      <c r="E22" s="78" t="str">
        <v>Other Expense</v>
      </c>
      <c r="F22" s="78" t="str">
        <v>Depreciation</v>
      </c>
    </row>
    <row r="23" spans="1:6" x14ac:dyDescent="0.25">
      <c r="A23" s="139">
        <v>0.255</v>
      </c>
      <c r="B23" s="139">
        <v>4.4999999999999998E-2</v>
      </c>
      <c r="C23" s="139">
        <v>7.4999999999999997E-2</v>
      </c>
      <c r="D23" s="139">
        <v>0.22500000000000001</v>
      </c>
      <c r="E23" s="139">
        <v>4.4999999999999998E-2</v>
      </c>
      <c r="F23" s="139">
        <v>0.12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3"/>
  <sheetViews>
    <sheetView workbookViewId="0">
      <selection activeCell="C21" sqref="C21"/>
    </sheetView>
  </sheetViews>
  <sheetFormatPr defaultRowHeight="15" x14ac:dyDescent="0.25"/>
  <cols>
    <col min="1" max="1" width="16" customWidth="1"/>
    <col min="2" max="6" width="13.85546875" customWidth="1"/>
    <col min="7" max="7" width="13.7109375" customWidth="1"/>
    <col min="8" max="8" width="10.5703125" bestFit="1" customWidth="1"/>
  </cols>
  <sheetData>
    <row r="1" spans="1:8" x14ac:dyDescent="0.25">
      <c r="A1" s="134" t="s">
        <v>403</v>
      </c>
      <c r="B1" s="134"/>
      <c r="C1" s="134"/>
      <c r="D1" s="134"/>
      <c r="E1" s="134"/>
      <c r="F1" s="134"/>
      <c r="G1" s="134"/>
      <c r="H1" s="134"/>
    </row>
    <row r="2" spans="1:8" x14ac:dyDescent="0.25">
      <c r="A2" s="3"/>
      <c r="B2" s="78" t="s">
        <v>220</v>
      </c>
      <c r="C2" s="78" t="s">
        <v>221</v>
      </c>
      <c r="D2" s="78" t="s">
        <v>231</v>
      </c>
      <c r="E2" s="78" t="s">
        <v>259</v>
      </c>
      <c r="F2" s="78" t="s">
        <v>260</v>
      </c>
      <c r="G2" s="78" t="s">
        <v>261</v>
      </c>
      <c r="H2" s="135" t="s">
        <v>404</v>
      </c>
    </row>
    <row r="3" spans="1:8" x14ac:dyDescent="0.25">
      <c r="A3" s="78" t="s">
        <v>193</v>
      </c>
      <c r="B3" s="136">
        <v>1000</v>
      </c>
      <c r="C3" s="136">
        <v>1250</v>
      </c>
      <c r="D3" s="136">
        <v>1370</v>
      </c>
      <c r="E3" s="136">
        <v>1250</v>
      </c>
      <c r="F3" s="136">
        <v>2000</v>
      </c>
      <c r="G3" s="136">
        <v>2215</v>
      </c>
      <c r="H3" s="137">
        <f t="shared" ref="H3:H10" si="0">SUM(B3:G3)</f>
        <v>9085</v>
      </c>
    </row>
    <row r="4" spans="1:8" x14ac:dyDescent="0.25">
      <c r="A4" s="78" t="str">
        <f t="shared" ref="A4:A9" si="1">A14</f>
        <v>COGS</v>
      </c>
      <c r="B4" s="138">
        <f>B$3*$B14</f>
        <v>255</v>
      </c>
      <c r="C4" s="138">
        <f t="shared" ref="C4:G4" si="2">C$3*$B14</f>
        <v>318.75</v>
      </c>
      <c r="D4" s="138">
        <f t="shared" si="2"/>
        <v>349.35</v>
      </c>
      <c r="E4" s="138">
        <f t="shared" si="2"/>
        <v>318.75</v>
      </c>
      <c r="F4" s="138">
        <f t="shared" si="2"/>
        <v>510</v>
      </c>
      <c r="G4" s="138">
        <f t="shared" si="2"/>
        <v>564.82500000000005</v>
      </c>
      <c r="H4" s="137">
        <f t="shared" si="0"/>
        <v>2316.6750000000002</v>
      </c>
    </row>
    <row r="5" spans="1:8" x14ac:dyDescent="0.25">
      <c r="A5" s="78" t="str">
        <f t="shared" si="1"/>
        <v>Office Expense</v>
      </c>
      <c r="B5" s="138">
        <f t="shared" ref="B5:G9" si="3">B$3*$B15</f>
        <v>45</v>
      </c>
      <c r="C5" s="138">
        <f t="shared" si="3"/>
        <v>56.25</v>
      </c>
      <c r="D5" s="138">
        <f t="shared" si="3"/>
        <v>61.65</v>
      </c>
      <c r="E5" s="138">
        <f t="shared" si="3"/>
        <v>56.25</v>
      </c>
      <c r="F5" s="138">
        <f t="shared" si="3"/>
        <v>90</v>
      </c>
      <c r="G5" s="138">
        <f t="shared" si="3"/>
        <v>99.674999999999997</v>
      </c>
      <c r="H5" s="137">
        <f t="shared" si="0"/>
        <v>408.82499999999999</v>
      </c>
    </row>
    <row r="6" spans="1:8" x14ac:dyDescent="0.25">
      <c r="A6" s="78" t="str">
        <f t="shared" si="1"/>
        <v>Admin Expense</v>
      </c>
      <c r="B6" s="138">
        <f t="shared" si="3"/>
        <v>75</v>
      </c>
      <c r="C6" s="138">
        <f t="shared" si="3"/>
        <v>93.75</v>
      </c>
      <c r="D6" s="138">
        <f t="shared" si="3"/>
        <v>102.75</v>
      </c>
      <c r="E6" s="138">
        <f t="shared" si="3"/>
        <v>93.75</v>
      </c>
      <c r="F6" s="138">
        <f t="shared" si="3"/>
        <v>150</v>
      </c>
      <c r="G6" s="138">
        <f t="shared" si="3"/>
        <v>166.125</v>
      </c>
      <c r="H6" s="137">
        <f t="shared" si="0"/>
        <v>681.375</v>
      </c>
    </row>
    <row r="7" spans="1:8" x14ac:dyDescent="0.25">
      <c r="A7" s="78" t="str">
        <f t="shared" si="1"/>
        <v>Wage Expense</v>
      </c>
      <c r="B7" s="138">
        <f t="shared" si="3"/>
        <v>225</v>
      </c>
      <c r="C7" s="138">
        <f t="shared" si="3"/>
        <v>281.25</v>
      </c>
      <c r="D7" s="138">
        <f t="shared" si="3"/>
        <v>308.25</v>
      </c>
      <c r="E7" s="138">
        <f t="shared" si="3"/>
        <v>281.25</v>
      </c>
      <c r="F7" s="138">
        <f t="shared" si="3"/>
        <v>450</v>
      </c>
      <c r="G7" s="138">
        <f t="shared" si="3"/>
        <v>498.375</v>
      </c>
      <c r="H7" s="137">
        <f t="shared" si="0"/>
        <v>2044.125</v>
      </c>
    </row>
    <row r="8" spans="1:8" x14ac:dyDescent="0.25">
      <c r="A8" s="78" t="str">
        <f t="shared" si="1"/>
        <v>Other Expense</v>
      </c>
      <c r="B8" s="138">
        <f t="shared" si="3"/>
        <v>45</v>
      </c>
      <c r="C8" s="138">
        <f t="shared" si="3"/>
        <v>56.25</v>
      </c>
      <c r="D8" s="138">
        <f t="shared" si="3"/>
        <v>61.65</v>
      </c>
      <c r="E8" s="138">
        <f t="shared" si="3"/>
        <v>56.25</v>
      </c>
      <c r="F8" s="138">
        <f t="shared" si="3"/>
        <v>90</v>
      </c>
      <c r="G8" s="138">
        <f t="shared" si="3"/>
        <v>99.674999999999997</v>
      </c>
      <c r="H8" s="137">
        <f t="shared" si="0"/>
        <v>408.82499999999999</v>
      </c>
    </row>
    <row r="9" spans="1:8" x14ac:dyDescent="0.25">
      <c r="A9" s="78" t="str">
        <f t="shared" si="1"/>
        <v>Depreciation</v>
      </c>
      <c r="B9" s="138">
        <f t="shared" si="3"/>
        <v>120</v>
      </c>
      <c r="C9" s="138">
        <f t="shared" si="3"/>
        <v>150</v>
      </c>
      <c r="D9" s="138">
        <f t="shared" si="3"/>
        <v>164.4</v>
      </c>
      <c r="E9" s="138">
        <f t="shared" si="3"/>
        <v>150</v>
      </c>
      <c r="F9" s="138">
        <f t="shared" si="3"/>
        <v>240</v>
      </c>
      <c r="G9" s="138">
        <f t="shared" si="3"/>
        <v>265.8</v>
      </c>
      <c r="H9" s="137">
        <f t="shared" si="0"/>
        <v>1090.2</v>
      </c>
    </row>
    <row r="10" spans="1:8" x14ac:dyDescent="0.25">
      <c r="A10" s="135" t="s">
        <v>258</v>
      </c>
      <c r="B10" s="137">
        <f t="shared" ref="B10:G10" si="4">SUM(B4:B9)</f>
        <v>765</v>
      </c>
      <c r="C10" s="137">
        <f t="shared" si="4"/>
        <v>956.25</v>
      </c>
      <c r="D10" s="137">
        <f t="shared" si="4"/>
        <v>1048.05</v>
      </c>
      <c r="E10" s="137">
        <f t="shared" si="4"/>
        <v>956.25</v>
      </c>
      <c r="F10" s="137">
        <f t="shared" si="4"/>
        <v>1530</v>
      </c>
      <c r="G10" s="137">
        <f t="shared" si="4"/>
        <v>1694.4749999999999</v>
      </c>
      <c r="H10" s="137">
        <f t="shared" si="0"/>
        <v>6950.0249999999996</v>
      </c>
    </row>
    <row r="11" spans="1:8" x14ac:dyDescent="0.25">
      <c r="A11" s="78" t="s">
        <v>197</v>
      </c>
      <c r="B11" s="136">
        <f t="shared" ref="B11:H11" si="5">B3-B10</f>
        <v>235</v>
      </c>
      <c r="C11" s="136">
        <f t="shared" si="5"/>
        <v>293.75</v>
      </c>
      <c r="D11" s="136">
        <f t="shared" si="5"/>
        <v>321.95000000000005</v>
      </c>
      <c r="E11" s="136">
        <f t="shared" si="5"/>
        <v>293.75</v>
      </c>
      <c r="F11" s="136">
        <f t="shared" si="5"/>
        <v>470</v>
      </c>
      <c r="G11" s="136">
        <f t="shared" si="5"/>
        <v>520.52500000000009</v>
      </c>
      <c r="H11" s="136">
        <f t="shared" si="5"/>
        <v>2134.9750000000004</v>
      </c>
    </row>
    <row r="13" spans="1:8" x14ac:dyDescent="0.25">
      <c r="A13" s="109" t="s">
        <v>405</v>
      </c>
      <c r="B13" s="109"/>
    </row>
    <row r="14" spans="1:8" x14ac:dyDescent="0.25">
      <c r="A14" s="78" t="s">
        <v>202</v>
      </c>
      <c r="B14" s="139">
        <v>0.255</v>
      </c>
      <c r="D14" t="s">
        <v>665</v>
      </c>
    </row>
    <row r="15" spans="1:8" x14ac:dyDescent="0.25">
      <c r="A15" s="78" t="s">
        <v>650</v>
      </c>
      <c r="B15" s="139">
        <v>4.4999999999999998E-2</v>
      </c>
    </row>
    <row r="16" spans="1:8" x14ac:dyDescent="0.25">
      <c r="A16" s="78" t="s">
        <v>651</v>
      </c>
      <c r="B16" s="139">
        <v>7.4999999999999997E-2</v>
      </c>
      <c r="D16" t="s">
        <v>655</v>
      </c>
    </row>
    <row r="17" spans="1:6" x14ac:dyDescent="0.25">
      <c r="A17" s="78" t="s">
        <v>646</v>
      </c>
      <c r="B17" s="139">
        <v>0.22500000000000001</v>
      </c>
      <c r="D17" t="s">
        <v>656</v>
      </c>
    </row>
    <row r="18" spans="1:6" x14ac:dyDescent="0.25">
      <c r="A18" s="78" t="s">
        <v>483</v>
      </c>
      <c r="B18" s="139">
        <v>4.4999999999999998E-2</v>
      </c>
      <c r="D18" t="s">
        <v>657</v>
      </c>
    </row>
    <row r="19" spans="1:6" x14ac:dyDescent="0.25">
      <c r="A19" s="78" t="s">
        <v>649</v>
      </c>
      <c r="B19" s="139">
        <v>0.12</v>
      </c>
    </row>
    <row r="20" spans="1:6" x14ac:dyDescent="0.25">
      <c r="B20" s="197"/>
    </row>
    <row r="21" spans="1:6" x14ac:dyDescent="0.25">
      <c r="A21" s="109" t="s">
        <v>405</v>
      </c>
      <c r="B21" s="109"/>
      <c r="C21" s="109"/>
      <c r="D21" s="109"/>
      <c r="E21" s="109"/>
      <c r="F21" s="109"/>
    </row>
    <row r="22" spans="1:6" x14ac:dyDescent="0.25">
      <c r="A22" s="78" t="str">
        <f t="array" ref="A22:F23">TRANSPOSE(A14:B19)</f>
        <v>COGS</v>
      </c>
      <c r="B22" s="78" t="str">
        <v>Office Expense</v>
      </c>
      <c r="C22" s="78" t="str">
        <v>Admin Expense</v>
      </c>
      <c r="D22" s="78" t="str">
        <v>Wage Expense</v>
      </c>
      <c r="E22" s="78" t="str">
        <v>Other Expense</v>
      </c>
      <c r="F22" s="78" t="str">
        <v>Depreciation</v>
      </c>
    </row>
    <row r="23" spans="1:6" x14ac:dyDescent="0.25">
      <c r="A23" s="139">
        <v>0.255</v>
      </c>
      <c r="B23" s="139">
        <v>4.4999999999999998E-2</v>
      </c>
      <c r="C23" s="139">
        <v>7.4999999999999997E-2</v>
      </c>
      <c r="D23" s="139">
        <v>0.22500000000000001</v>
      </c>
      <c r="E23" s="139">
        <v>4.4999999999999998E-2</v>
      </c>
      <c r="F23" s="139">
        <v>0.12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22"/>
  <sheetViews>
    <sheetView zoomScale="115" zoomScaleNormal="115" workbookViewId="0">
      <selection activeCell="C21" sqref="C21"/>
    </sheetView>
  </sheetViews>
  <sheetFormatPr defaultColWidth="9.85546875" defaultRowHeight="15" x14ac:dyDescent="0.25"/>
  <cols>
    <col min="1" max="1" width="4.7109375" customWidth="1"/>
  </cols>
  <sheetData>
    <row r="1" spans="1:14" ht="26.25" x14ac:dyDescent="0.4">
      <c r="B1" s="121" t="s">
        <v>335</v>
      </c>
      <c r="C1" s="122"/>
      <c r="D1" s="121"/>
      <c r="E1" s="121"/>
      <c r="F1" s="121"/>
      <c r="G1" s="121"/>
      <c r="H1" s="121"/>
      <c r="I1" s="121"/>
      <c r="J1" s="121"/>
      <c r="K1" s="121"/>
      <c r="L1" s="121"/>
      <c r="M1" s="121"/>
      <c r="N1" s="121"/>
    </row>
    <row r="2" spans="1:14" ht="18.75" x14ac:dyDescent="0.3">
      <c r="B2" s="123" t="s">
        <v>336</v>
      </c>
      <c r="C2" s="124"/>
      <c r="D2" s="124"/>
      <c r="E2" s="124"/>
      <c r="F2" s="124"/>
      <c r="G2" s="124"/>
      <c r="H2" s="124"/>
      <c r="I2" s="124"/>
      <c r="J2" s="124"/>
      <c r="K2" s="124"/>
      <c r="L2" s="124"/>
      <c r="M2" s="124"/>
      <c r="N2" s="125"/>
    </row>
    <row r="3" spans="1:14" x14ac:dyDescent="0.25">
      <c r="A3" s="220" t="s">
        <v>337</v>
      </c>
      <c r="B3" s="126"/>
      <c r="C3" s="127">
        <f>COLUMNS($C3:C3)</f>
        <v>1</v>
      </c>
      <c r="D3" s="127">
        <f>COLUMNS($C3:D3)</f>
        <v>2</v>
      </c>
      <c r="E3" s="127">
        <f>COLUMNS($C3:E3)</f>
        <v>3</v>
      </c>
      <c r="F3" s="127">
        <f>COLUMNS($C3:F3)</f>
        <v>4</v>
      </c>
      <c r="G3" s="127">
        <f>COLUMNS($C3:G3)</f>
        <v>5</v>
      </c>
      <c r="H3" s="127">
        <f>COLUMNS($C3:H3)</f>
        <v>6</v>
      </c>
      <c r="I3" s="127">
        <f>COLUMNS($C3:I3)</f>
        <v>7</v>
      </c>
      <c r="J3" s="127">
        <f>COLUMNS($C3:J3)</f>
        <v>8</v>
      </c>
      <c r="K3" s="127">
        <f>COLUMNS($C3:K3)</f>
        <v>9</v>
      </c>
      <c r="L3" s="127">
        <f>COLUMNS($C3:L3)</f>
        <v>10</v>
      </c>
      <c r="M3" s="127">
        <f>COLUMNS($C3:M3)</f>
        <v>11</v>
      </c>
      <c r="N3" s="127">
        <f>COLUMNS($C3:N3)</f>
        <v>12</v>
      </c>
    </row>
    <row r="4" spans="1:14" x14ac:dyDescent="0.25">
      <c r="A4" s="221"/>
      <c r="B4" s="127">
        <f>ROWS(B$4:B4)</f>
        <v>1</v>
      </c>
      <c r="C4" s="128"/>
      <c r="D4" s="128"/>
      <c r="E4" s="128"/>
      <c r="F4" s="128"/>
      <c r="G4" s="128"/>
      <c r="H4" s="128"/>
      <c r="I4" s="128"/>
      <c r="J4" s="128"/>
      <c r="K4" s="128"/>
      <c r="L4" s="128"/>
      <c r="M4" s="128"/>
      <c r="N4" s="128"/>
    </row>
    <row r="5" spans="1:14" x14ac:dyDescent="0.25">
      <c r="A5" s="221"/>
      <c r="B5" s="127">
        <f>ROWS(B$4:B5)</f>
        <v>2</v>
      </c>
      <c r="C5" s="128"/>
      <c r="D5" s="128"/>
      <c r="E5" s="128"/>
      <c r="F5" s="128"/>
      <c r="G5" s="128"/>
      <c r="H5" s="128"/>
      <c r="I5" s="128"/>
      <c r="J5" s="128"/>
      <c r="K5" s="128"/>
      <c r="L5" s="128"/>
      <c r="M5" s="128"/>
      <c r="N5" s="128"/>
    </row>
    <row r="6" spans="1:14" x14ac:dyDescent="0.25">
      <c r="A6" s="221"/>
      <c r="B6" s="127">
        <f>ROWS(B$4:B6)</f>
        <v>3</v>
      </c>
      <c r="C6" s="128"/>
      <c r="D6" s="128"/>
      <c r="E6" s="128"/>
      <c r="F6" s="128"/>
      <c r="G6" s="128"/>
      <c r="H6" s="128"/>
      <c r="I6" s="128"/>
      <c r="J6" s="128"/>
      <c r="K6" s="128"/>
      <c r="L6" s="128"/>
      <c r="M6" s="128"/>
      <c r="N6" s="128"/>
    </row>
    <row r="7" spans="1:14" x14ac:dyDescent="0.25">
      <c r="A7" s="221"/>
      <c r="B7" s="127">
        <f>ROWS(B$4:B7)</f>
        <v>4</v>
      </c>
      <c r="C7" s="128"/>
      <c r="D7" s="128"/>
      <c r="E7" s="128"/>
      <c r="F7" s="128"/>
      <c r="G7" s="128"/>
      <c r="H7" s="128"/>
      <c r="I7" s="128"/>
      <c r="J7" s="128"/>
      <c r="K7" s="128"/>
      <c r="L7" s="128"/>
      <c r="M7" s="128"/>
      <c r="N7" s="128"/>
    </row>
    <row r="8" spans="1:14" x14ac:dyDescent="0.25">
      <c r="A8" s="221"/>
      <c r="B8" s="127">
        <f>ROWS(B$4:B8)</f>
        <v>5</v>
      </c>
      <c r="C8" s="128"/>
      <c r="D8" s="128"/>
      <c r="E8" s="128"/>
      <c r="F8" s="128"/>
      <c r="G8" s="128"/>
      <c r="H8" s="128"/>
      <c r="I8" s="128"/>
      <c r="J8" s="128"/>
      <c r="K8" s="128"/>
      <c r="L8" s="128"/>
      <c r="M8" s="128"/>
      <c r="N8" s="128"/>
    </row>
    <row r="9" spans="1:14" x14ac:dyDescent="0.25">
      <c r="A9" s="221"/>
      <c r="B9" s="127">
        <f>ROWS(B$4:B9)</f>
        <v>6</v>
      </c>
      <c r="C9" s="128"/>
      <c r="D9" s="128"/>
      <c r="E9" s="128"/>
      <c r="F9" s="128"/>
      <c r="G9" s="128"/>
      <c r="H9" s="128"/>
      <c r="I9" s="128"/>
      <c r="J9" s="128"/>
      <c r="K9" s="128"/>
      <c r="L9" s="128"/>
      <c r="M9" s="128"/>
      <c r="N9" s="128"/>
    </row>
    <row r="10" spans="1:14" x14ac:dyDescent="0.25">
      <c r="A10" s="221"/>
      <c r="B10" s="127">
        <f>ROWS(B$4:B10)</f>
        <v>7</v>
      </c>
      <c r="C10" s="128"/>
      <c r="D10" s="128"/>
      <c r="E10" s="128"/>
      <c r="F10" s="128"/>
      <c r="G10" s="128"/>
      <c r="H10" s="128"/>
      <c r="I10" s="128"/>
      <c r="J10" s="128"/>
      <c r="K10" s="128"/>
      <c r="L10" s="128"/>
      <c r="M10" s="128"/>
      <c r="N10" s="128"/>
    </row>
    <row r="11" spans="1:14" x14ac:dyDescent="0.25">
      <c r="A11" s="221"/>
      <c r="B11" s="127">
        <f>ROWS(B$4:B11)</f>
        <v>8</v>
      </c>
      <c r="C11" s="128"/>
      <c r="D11" s="128"/>
      <c r="E11" s="128"/>
      <c r="F11" s="128"/>
      <c r="G11" s="128"/>
      <c r="H11" s="128"/>
      <c r="I11" s="128"/>
      <c r="J11" s="128"/>
      <c r="K11" s="128"/>
      <c r="L11" s="128"/>
      <c r="M11" s="128"/>
      <c r="N11" s="128"/>
    </row>
    <row r="12" spans="1:14" x14ac:dyDescent="0.25">
      <c r="A12" s="221"/>
      <c r="B12" s="127">
        <f>ROWS(B$4:B12)</f>
        <v>9</v>
      </c>
      <c r="C12" s="128"/>
      <c r="D12" s="128"/>
      <c r="E12" s="128"/>
      <c r="F12" s="128"/>
      <c r="G12" s="128"/>
      <c r="H12" s="128"/>
      <c r="I12" s="128"/>
      <c r="J12" s="128"/>
      <c r="K12" s="128"/>
      <c r="L12" s="128"/>
      <c r="M12" s="128"/>
      <c r="N12" s="128"/>
    </row>
    <row r="13" spans="1:14" x14ac:dyDescent="0.25">
      <c r="A13" s="221"/>
      <c r="B13" s="127">
        <f>ROWS(B$4:B13)</f>
        <v>10</v>
      </c>
      <c r="C13" s="128"/>
      <c r="D13" s="128"/>
      <c r="E13" s="128"/>
      <c r="F13" s="128"/>
      <c r="G13" s="128"/>
      <c r="H13" s="128"/>
      <c r="I13" s="128"/>
      <c r="J13" s="128"/>
      <c r="K13" s="128"/>
      <c r="L13" s="128"/>
      <c r="M13" s="128"/>
      <c r="N13" s="128"/>
    </row>
    <row r="14" spans="1:14" x14ac:dyDescent="0.25">
      <c r="A14" s="221"/>
      <c r="B14" s="127">
        <f>ROWS(B$4:B14)</f>
        <v>11</v>
      </c>
      <c r="C14" s="128"/>
      <c r="D14" s="128"/>
      <c r="E14" s="128"/>
      <c r="F14" s="128"/>
      <c r="G14" s="128"/>
      <c r="H14" s="128"/>
      <c r="I14" s="128"/>
      <c r="J14" s="128"/>
      <c r="K14" s="128"/>
      <c r="L14" s="128"/>
      <c r="M14" s="128"/>
      <c r="N14" s="128"/>
    </row>
    <row r="15" spans="1:14" x14ac:dyDescent="0.25">
      <c r="A15" s="220"/>
      <c r="B15" s="127">
        <f>ROWS(B$4:B15)</f>
        <v>12</v>
      </c>
      <c r="C15" s="128"/>
      <c r="D15" s="128"/>
      <c r="E15" s="128"/>
      <c r="F15" s="128"/>
      <c r="G15" s="128"/>
      <c r="H15" s="128"/>
      <c r="I15" s="128"/>
      <c r="J15" s="128"/>
      <c r="K15" s="128"/>
      <c r="L15" s="128"/>
      <c r="M15" s="128"/>
      <c r="N15" s="128"/>
    </row>
    <row r="18" spans="4:4" x14ac:dyDescent="0.25">
      <c r="D18" s="152" t="s">
        <v>451</v>
      </c>
    </row>
    <row r="19" spans="4:4" x14ac:dyDescent="0.25">
      <c r="D19" s="152"/>
    </row>
    <row r="20" spans="4:4" x14ac:dyDescent="0.25">
      <c r="D20" t="s">
        <v>655</v>
      </c>
    </row>
    <row r="21" spans="4:4" x14ac:dyDescent="0.25">
      <c r="D21" t="s">
        <v>656</v>
      </c>
    </row>
    <row r="22" spans="4:4" x14ac:dyDescent="0.25">
      <c r="D22" t="s">
        <v>657</v>
      </c>
    </row>
  </sheetData>
  <mergeCells count="1">
    <mergeCell ref="A3:A1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2"/>
  <sheetViews>
    <sheetView workbookViewId="0">
      <selection activeCell="C21" sqref="C21"/>
    </sheetView>
  </sheetViews>
  <sheetFormatPr defaultColWidth="9.85546875" defaultRowHeight="15" x14ac:dyDescent="0.25"/>
  <cols>
    <col min="1" max="1" width="4.7109375" customWidth="1"/>
  </cols>
  <sheetData>
    <row r="1" spans="1:14" ht="26.25" x14ac:dyDescent="0.4">
      <c r="B1" s="121" t="s">
        <v>335</v>
      </c>
      <c r="C1" s="122"/>
      <c r="D1" s="121"/>
      <c r="E1" s="121"/>
      <c r="F1" s="121"/>
      <c r="G1" s="121"/>
      <c r="H1" s="121"/>
      <c r="I1" s="121"/>
      <c r="J1" s="121"/>
      <c r="K1" s="121"/>
      <c r="L1" s="121"/>
      <c r="M1" s="121"/>
      <c r="N1" s="121"/>
    </row>
    <row r="2" spans="1:14" ht="18.75" x14ac:dyDescent="0.3">
      <c r="B2" s="123" t="s">
        <v>336</v>
      </c>
      <c r="C2" s="124"/>
      <c r="D2" s="124"/>
      <c r="E2" s="124"/>
      <c r="F2" s="124"/>
      <c r="G2" s="124"/>
      <c r="H2" s="124"/>
      <c r="I2" s="124"/>
      <c r="J2" s="124"/>
      <c r="K2" s="124"/>
      <c r="L2" s="124"/>
      <c r="M2" s="124"/>
      <c r="N2" s="125"/>
    </row>
    <row r="3" spans="1:14" x14ac:dyDescent="0.25">
      <c r="A3" s="220" t="s">
        <v>337</v>
      </c>
      <c r="B3" s="126"/>
      <c r="C3" s="127">
        <f>COLUMNS($C3:C3)</f>
        <v>1</v>
      </c>
      <c r="D3" s="127">
        <f>COLUMNS($C3:D3)</f>
        <v>2</v>
      </c>
      <c r="E3" s="127">
        <f>COLUMNS($C3:E3)</f>
        <v>3</v>
      </c>
      <c r="F3" s="127">
        <f>COLUMNS($C3:F3)</f>
        <v>4</v>
      </c>
      <c r="G3" s="127">
        <f>COLUMNS($C3:G3)</f>
        <v>5</v>
      </c>
      <c r="H3" s="127">
        <f>COLUMNS($C3:H3)</f>
        <v>6</v>
      </c>
      <c r="I3" s="127">
        <f>COLUMNS($C3:I3)</f>
        <v>7</v>
      </c>
      <c r="J3" s="127">
        <f>COLUMNS($C3:J3)</f>
        <v>8</v>
      </c>
      <c r="K3" s="127">
        <f>COLUMNS($C3:K3)</f>
        <v>9</v>
      </c>
      <c r="L3" s="127">
        <f>COLUMNS($C3:L3)</f>
        <v>10</v>
      </c>
      <c r="M3" s="127">
        <f>COLUMNS($C3:M3)</f>
        <v>11</v>
      </c>
      <c r="N3" s="127">
        <f>COLUMNS($C3:N3)</f>
        <v>12</v>
      </c>
    </row>
    <row r="4" spans="1:14" x14ac:dyDescent="0.25">
      <c r="A4" s="221"/>
      <c r="B4" s="127">
        <f>ROWS(B$4:B4)</f>
        <v>1</v>
      </c>
      <c r="C4" s="128">
        <f t="shared" ref="C4:N15" si="0">C$3*$B4</f>
        <v>1</v>
      </c>
      <c r="D4" s="128">
        <f t="shared" si="0"/>
        <v>2</v>
      </c>
      <c r="E4" s="128">
        <f t="shared" si="0"/>
        <v>3</v>
      </c>
      <c r="F4" s="128">
        <f t="shared" si="0"/>
        <v>4</v>
      </c>
      <c r="G4" s="128">
        <f t="shared" si="0"/>
        <v>5</v>
      </c>
      <c r="H4" s="128">
        <f t="shared" si="0"/>
        <v>6</v>
      </c>
      <c r="I4" s="128">
        <f t="shared" si="0"/>
        <v>7</v>
      </c>
      <c r="J4" s="128">
        <f t="shared" si="0"/>
        <v>8</v>
      </c>
      <c r="K4" s="128">
        <f t="shared" si="0"/>
        <v>9</v>
      </c>
      <c r="L4" s="128">
        <f t="shared" si="0"/>
        <v>10</v>
      </c>
      <c r="M4" s="128">
        <f t="shared" si="0"/>
        <v>11</v>
      </c>
      <c r="N4" s="128">
        <f t="shared" si="0"/>
        <v>12</v>
      </c>
    </row>
    <row r="5" spans="1:14" x14ac:dyDescent="0.25">
      <c r="A5" s="221"/>
      <c r="B5" s="127">
        <f>ROWS(B$4:B5)</f>
        <v>2</v>
      </c>
      <c r="C5" s="128">
        <f t="shared" si="0"/>
        <v>2</v>
      </c>
      <c r="D5" s="128">
        <f t="shared" si="0"/>
        <v>4</v>
      </c>
      <c r="E5" s="128">
        <f t="shared" si="0"/>
        <v>6</v>
      </c>
      <c r="F5" s="128">
        <f t="shared" si="0"/>
        <v>8</v>
      </c>
      <c r="G5" s="128">
        <f t="shared" si="0"/>
        <v>10</v>
      </c>
      <c r="H5" s="128">
        <f t="shared" si="0"/>
        <v>12</v>
      </c>
      <c r="I5" s="128">
        <f t="shared" si="0"/>
        <v>14</v>
      </c>
      <c r="J5" s="128">
        <f t="shared" si="0"/>
        <v>16</v>
      </c>
      <c r="K5" s="128">
        <f t="shared" si="0"/>
        <v>18</v>
      </c>
      <c r="L5" s="128">
        <f t="shared" si="0"/>
        <v>20</v>
      </c>
      <c r="M5" s="128">
        <f t="shared" si="0"/>
        <v>22</v>
      </c>
      <c r="N5" s="128">
        <f t="shared" si="0"/>
        <v>24</v>
      </c>
    </row>
    <row r="6" spans="1:14" x14ac:dyDescent="0.25">
      <c r="A6" s="221"/>
      <c r="B6" s="127">
        <f>ROWS(B$4:B6)</f>
        <v>3</v>
      </c>
      <c r="C6" s="128">
        <f t="shared" si="0"/>
        <v>3</v>
      </c>
      <c r="D6" s="128">
        <f t="shared" si="0"/>
        <v>6</v>
      </c>
      <c r="E6" s="128">
        <f t="shared" si="0"/>
        <v>9</v>
      </c>
      <c r="F6" s="128">
        <f t="shared" si="0"/>
        <v>12</v>
      </c>
      <c r="G6" s="128">
        <f t="shared" si="0"/>
        <v>15</v>
      </c>
      <c r="H6" s="128">
        <f t="shared" si="0"/>
        <v>18</v>
      </c>
      <c r="I6" s="128">
        <f t="shared" si="0"/>
        <v>21</v>
      </c>
      <c r="J6" s="128">
        <f t="shared" si="0"/>
        <v>24</v>
      </c>
      <c r="K6" s="128">
        <f t="shared" si="0"/>
        <v>27</v>
      </c>
      <c r="L6" s="128">
        <f t="shared" si="0"/>
        <v>30</v>
      </c>
      <c r="M6" s="128">
        <f t="shared" si="0"/>
        <v>33</v>
      </c>
      <c r="N6" s="128">
        <f t="shared" si="0"/>
        <v>36</v>
      </c>
    </row>
    <row r="7" spans="1:14" x14ac:dyDescent="0.25">
      <c r="A7" s="221"/>
      <c r="B7" s="127">
        <f>ROWS(B$4:B7)</f>
        <v>4</v>
      </c>
      <c r="C7" s="128">
        <f t="shared" si="0"/>
        <v>4</v>
      </c>
      <c r="D7" s="128">
        <f t="shared" si="0"/>
        <v>8</v>
      </c>
      <c r="E7" s="128">
        <f t="shared" si="0"/>
        <v>12</v>
      </c>
      <c r="F7" s="128">
        <f t="shared" si="0"/>
        <v>16</v>
      </c>
      <c r="G7" s="128">
        <f t="shared" si="0"/>
        <v>20</v>
      </c>
      <c r="H7" s="128">
        <f t="shared" si="0"/>
        <v>24</v>
      </c>
      <c r="I7" s="128">
        <f t="shared" si="0"/>
        <v>28</v>
      </c>
      <c r="J7" s="128">
        <f t="shared" si="0"/>
        <v>32</v>
      </c>
      <c r="K7" s="128">
        <f t="shared" si="0"/>
        <v>36</v>
      </c>
      <c r="L7" s="128">
        <f t="shared" si="0"/>
        <v>40</v>
      </c>
      <c r="M7" s="128">
        <f t="shared" si="0"/>
        <v>44</v>
      </c>
      <c r="N7" s="128">
        <f t="shared" si="0"/>
        <v>48</v>
      </c>
    </row>
    <row r="8" spans="1:14" x14ac:dyDescent="0.25">
      <c r="A8" s="221"/>
      <c r="B8" s="127">
        <f>ROWS(B$4:B8)</f>
        <v>5</v>
      </c>
      <c r="C8" s="128">
        <f t="shared" si="0"/>
        <v>5</v>
      </c>
      <c r="D8" s="128">
        <f t="shared" si="0"/>
        <v>10</v>
      </c>
      <c r="E8" s="128">
        <f t="shared" si="0"/>
        <v>15</v>
      </c>
      <c r="F8" s="128">
        <f t="shared" si="0"/>
        <v>20</v>
      </c>
      <c r="G8" s="128">
        <f t="shared" si="0"/>
        <v>25</v>
      </c>
      <c r="H8" s="128">
        <f t="shared" si="0"/>
        <v>30</v>
      </c>
      <c r="I8" s="128">
        <f t="shared" si="0"/>
        <v>35</v>
      </c>
      <c r="J8" s="128">
        <f t="shared" si="0"/>
        <v>40</v>
      </c>
      <c r="K8" s="128">
        <f t="shared" si="0"/>
        <v>45</v>
      </c>
      <c r="L8" s="128">
        <f t="shared" si="0"/>
        <v>50</v>
      </c>
      <c r="M8" s="128">
        <f t="shared" si="0"/>
        <v>55</v>
      </c>
      <c r="N8" s="128">
        <f t="shared" si="0"/>
        <v>60</v>
      </c>
    </row>
    <row r="9" spans="1:14" x14ac:dyDescent="0.25">
      <c r="A9" s="221"/>
      <c r="B9" s="127">
        <f>ROWS(B$4:B9)</f>
        <v>6</v>
      </c>
      <c r="C9" s="128">
        <f t="shared" si="0"/>
        <v>6</v>
      </c>
      <c r="D9" s="128">
        <f t="shared" si="0"/>
        <v>12</v>
      </c>
      <c r="E9" s="128">
        <f t="shared" si="0"/>
        <v>18</v>
      </c>
      <c r="F9" s="128">
        <f t="shared" si="0"/>
        <v>24</v>
      </c>
      <c r="G9" s="128">
        <f t="shared" si="0"/>
        <v>30</v>
      </c>
      <c r="H9" s="128">
        <f t="shared" si="0"/>
        <v>36</v>
      </c>
      <c r="I9" s="128">
        <f t="shared" si="0"/>
        <v>42</v>
      </c>
      <c r="J9" s="128">
        <f t="shared" si="0"/>
        <v>48</v>
      </c>
      <c r="K9" s="128">
        <f t="shared" si="0"/>
        <v>54</v>
      </c>
      <c r="L9" s="128">
        <f t="shared" si="0"/>
        <v>60</v>
      </c>
      <c r="M9" s="128">
        <f t="shared" si="0"/>
        <v>66</v>
      </c>
      <c r="N9" s="128">
        <f t="shared" si="0"/>
        <v>72</v>
      </c>
    </row>
    <row r="10" spans="1:14" x14ac:dyDescent="0.25">
      <c r="A10" s="221"/>
      <c r="B10" s="127">
        <f>ROWS(B$4:B10)</f>
        <v>7</v>
      </c>
      <c r="C10" s="128">
        <f t="shared" si="0"/>
        <v>7</v>
      </c>
      <c r="D10" s="128">
        <f t="shared" si="0"/>
        <v>14</v>
      </c>
      <c r="E10" s="128">
        <f t="shared" si="0"/>
        <v>21</v>
      </c>
      <c r="F10" s="128">
        <f t="shared" si="0"/>
        <v>28</v>
      </c>
      <c r="G10" s="128">
        <f t="shared" si="0"/>
        <v>35</v>
      </c>
      <c r="H10" s="128">
        <f t="shared" si="0"/>
        <v>42</v>
      </c>
      <c r="I10" s="128">
        <f t="shared" si="0"/>
        <v>49</v>
      </c>
      <c r="J10" s="128">
        <f t="shared" si="0"/>
        <v>56</v>
      </c>
      <c r="K10" s="128">
        <f t="shared" si="0"/>
        <v>63</v>
      </c>
      <c r="L10" s="128">
        <f t="shared" si="0"/>
        <v>70</v>
      </c>
      <c r="M10" s="128">
        <f t="shared" si="0"/>
        <v>77</v>
      </c>
      <c r="N10" s="128">
        <f t="shared" si="0"/>
        <v>84</v>
      </c>
    </row>
    <row r="11" spans="1:14" x14ac:dyDescent="0.25">
      <c r="A11" s="221"/>
      <c r="B11" s="127">
        <f>ROWS(B$4:B11)</f>
        <v>8</v>
      </c>
      <c r="C11" s="128">
        <f t="shared" si="0"/>
        <v>8</v>
      </c>
      <c r="D11" s="128">
        <f t="shared" si="0"/>
        <v>16</v>
      </c>
      <c r="E11" s="128">
        <f t="shared" si="0"/>
        <v>24</v>
      </c>
      <c r="F11" s="128">
        <f t="shared" si="0"/>
        <v>32</v>
      </c>
      <c r="G11" s="128">
        <f t="shared" si="0"/>
        <v>40</v>
      </c>
      <c r="H11" s="128">
        <f t="shared" si="0"/>
        <v>48</v>
      </c>
      <c r="I11" s="128">
        <f t="shared" si="0"/>
        <v>56</v>
      </c>
      <c r="J11" s="128">
        <f t="shared" si="0"/>
        <v>64</v>
      </c>
      <c r="K11" s="128">
        <f t="shared" si="0"/>
        <v>72</v>
      </c>
      <c r="L11" s="128">
        <f t="shared" si="0"/>
        <v>80</v>
      </c>
      <c r="M11" s="128">
        <f t="shared" si="0"/>
        <v>88</v>
      </c>
      <c r="N11" s="128">
        <f t="shared" si="0"/>
        <v>96</v>
      </c>
    </row>
    <row r="12" spans="1:14" x14ac:dyDescent="0.25">
      <c r="A12" s="221"/>
      <c r="B12" s="127">
        <f>ROWS(B$4:B12)</f>
        <v>9</v>
      </c>
      <c r="C12" s="128">
        <f t="shared" si="0"/>
        <v>9</v>
      </c>
      <c r="D12" s="128">
        <f t="shared" si="0"/>
        <v>18</v>
      </c>
      <c r="E12" s="128">
        <f t="shared" si="0"/>
        <v>27</v>
      </c>
      <c r="F12" s="128">
        <f t="shared" si="0"/>
        <v>36</v>
      </c>
      <c r="G12" s="128">
        <f t="shared" si="0"/>
        <v>45</v>
      </c>
      <c r="H12" s="128">
        <f t="shared" si="0"/>
        <v>54</v>
      </c>
      <c r="I12" s="128">
        <f t="shared" si="0"/>
        <v>63</v>
      </c>
      <c r="J12" s="128">
        <f t="shared" si="0"/>
        <v>72</v>
      </c>
      <c r="K12" s="128">
        <f t="shared" si="0"/>
        <v>81</v>
      </c>
      <c r="L12" s="128">
        <f t="shared" si="0"/>
        <v>90</v>
      </c>
      <c r="M12" s="128">
        <f t="shared" si="0"/>
        <v>99</v>
      </c>
      <c r="N12" s="128">
        <f t="shared" si="0"/>
        <v>108</v>
      </c>
    </row>
    <row r="13" spans="1:14" x14ac:dyDescent="0.25">
      <c r="A13" s="221"/>
      <c r="B13" s="127">
        <f>ROWS(B$4:B13)</f>
        <v>10</v>
      </c>
      <c r="C13" s="128">
        <f t="shared" si="0"/>
        <v>10</v>
      </c>
      <c r="D13" s="128">
        <f t="shared" si="0"/>
        <v>20</v>
      </c>
      <c r="E13" s="128">
        <f t="shared" si="0"/>
        <v>30</v>
      </c>
      <c r="F13" s="128">
        <f t="shared" si="0"/>
        <v>40</v>
      </c>
      <c r="G13" s="128">
        <f t="shared" si="0"/>
        <v>50</v>
      </c>
      <c r="H13" s="128">
        <f t="shared" si="0"/>
        <v>60</v>
      </c>
      <c r="I13" s="128">
        <f t="shared" si="0"/>
        <v>70</v>
      </c>
      <c r="J13" s="128">
        <f t="shared" si="0"/>
        <v>80</v>
      </c>
      <c r="K13" s="128">
        <f t="shared" si="0"/>
        <v>90</v>
      </c>
      <c r="L13" s="128">
        <f t="shared" si="0"/>
        <v>100</v>
      </c>
      <c r="M13" s="128">
        <f t="shared" si="0"/>
        <v>110</v>
      </c>
      <c r="N13" s="128">
        <f t="shared" si="0"/>
        <v>120</v>
      </c>
    </row>
    <row r="14" spans="1:14" x14ac:dyDescent="0.25">
      <c r="A14" s="221"/>
      <c r="B14" s="127">
        <f>ROWS(B$4:B14)</f>
        <v>11</v>
      </c>
      <c r="C14" s="128">
        <f t="shared" si="0"/>
        <v>11</v>
      </c>
      <c r="D14" s="128">
        <f t="shared" si="0"/>
        <v>22</v>
      </c>
      <c r="E14" s="128">
        <f t="shared" si="0"/>
        <v>33</v>
      </c>
      <c r="F14" s="128">
        <f t="shared" si="0"/>
        <v>44</v>
      </c>
      <c r="G14" s="128">
        <f t="shared" si="0"/>
        <v>55</v>
      </c>
      <c r="H14" s="128">
        <f t="shared" si="0"/>
        <v>66</v>
      </c>
      <c r="I14" s="128">
        <f t="shared" si="0"/>
        <v>77</v>
      </c>
      <c r="J14" s="128">
        <f t="shared" si="0"/>
        <v>88</v>
      </c>
      <c r="K14" s="128">
        <f t="shared" si="0"/>
        <v>99</v>
      </c>
      <c r="L14" s="128">
        <f t="shared" si="0"/>
        <v>110</v>
      </c>
      <c r="M14" s="128">
        <f t="shared" si="0"/>
        <v>121</v>
      </c>
      <c r="N14" s="128">
        <f t="shared" si="0"/>
        <v>132</v>
      </c>
    </row>
    <row r="15" spans="1:14" x14ac:dyDescent="0.25">
      <c r="A15" s="220"/>
      <c r="B15" s="127">
        <f>ROWS(B$4:B15)</f>
        <v>12</v>
      </c>
      <c r="C15" s="128">
        <f t="shared" si="0"/>
        <v>12</v>
      </c>
      <c r="D15" s="128">
        <f t="shared" si="0"/>
        <v>24</v>
      </c>
      <c r="E15" s="128">
        <f t="shared" si="0"/>
        <v>36</v>
      </c>
      <c r="F15" s="128">
        <f t="shared" si="0"/>
        <v>48</v>
      </c>
      <c r="G15" s="128">
        <f t="shared" si="0"/>
        <v>60</v>
      </c>
      <c r="H15" s="128">
        <f t="shared" si="0"/>
        <v>72</v>
      </c>
      <c r="I15" s="128">
        <f t="shared" si="0"/>
        <v>84</v>
      </c>
      <c r="J15" s="128">
        <f t="shared" si="0"/>
        <v>96</v>
      </c>
      <c r="K15" s="128">
        <f t="shared" si="0"/>
        <v>108</v>
      </c>
      <c r="L15" s="128">
        <f t="shared" si="0"/>
        <v>120</v>
      </c>
      <c r="M15" s="128">
        <f t="shared" si="0"/>
        <v>132</v>
      </c>
      <c r="N15" s="128">
        <f t="shared" si="0"/>
        <v>144</v>
      </c>
    </row>
    <row r="18" spans="4:4" x14ac:dyDescent="0.25">
      <c r="D18" s="152" t="s">
        <v>451</v>
      </c>
    </row>
    <row r="19" spans="4:4" x14ac:dyDescent="0.25">
      <c r="D19" s="152"/>
    </row>
    <row r="20" spans="4:4" x14ac:dyDescent="0.25">
      <c r="D20" t="s">
        <v>655</v>
      </c>
    </row>
    <row r="21" spans="4:4" x14ac:dyDescent="0.25">
      <c r="D21" t="s">
        <v>656</v>
      </c>
    </row>
    <row r="22" spans="4:4" x14ac:dyDescent="0.25">
      <c r="D22" t="s">
        <v>657</v>
      </c>
    </row>
  </sheetData>
  <mergeCells count="1">
    <mergeCell ref="A3:A15"/>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G21"/>
  <sheetViews>
    <sheetView zoomScale="115" zoomScaleNormal="115" workbookViewId="0">
      <selection activeCell="C21" sqref="C21"/>
    </sheetView>
  </sheetViews>
  <sheetFormatPr defaultColWidth="9.140625" defaultRowHeight="15" x14ac:dyDescent="0.25"/>
  <cols>
    <col min="1" max="1" width="11.42578125" bestFit="1" customWidth="1"/>
    <col min="2" max="3" width="14.28515625" bestFit="1" customWidth="1"/>
    <col min="4" max="4" width="14.42578125" bestFit="1" customWidth="1"/>
    <col min="5" max="7" width="15.28515625" bestFit="1" customWidth="1"/>
  </cols>
  <sheetData>
    <row r="1" spans="1:7" x14ac:dyDescent="0.25">
      <c r="A1" s="1" t="s">
        <v>329</v>
      </c>
      <c r="B1" s="91">
        <v>3000</v>
      </c>
    </row>
    <row r="3" spans="1:7" x14ac:dyDescent="0.25">
      <c r="A3" s="118" t="s">
        <v>330</v>
      </c>
      <c r="B3" s="118"/>
      <c r="C3" s="118"/>
      <c r="D3" s="118"/>
      <c r="E3" s="118"/>
      <c r="F3" s="118"/>
      <c r="G3" s="118"/>
    </row>
    <row r="4" spans="1:7" x14ac:dyDescent="0.25">
      <c r="A4" s="3" t="s">
        <v>331</v>
      </c>
      <c r="B4" s="119">
        <f>B18</f>
        <v>0.06</v>
      </c>
      <c r="C4" s="119">
        <f>B4+$B19</f>
        <v>6.9999999999999993E-2</v>
      </c>
      <c r="D4" s="119">
        <f>C4+$B19</f>
        <v>7.9999999999999988E-2</v>
      </c>
      <c r="E4" s="119">
        <f>D4+$B19</f>
        <v>8.9999999999999983E-2</v>
      </c>
      <c r="F4" s="119">
        <f>E4+$B19</f>
        <v>9.9999999999999978E-2</v>
      </c>
      <c r="G4" s="119">
        <f>F4+$B19</f>
        <v>0.10999999999999997</v>
      </c>
    </row>
    <row r="5" spans="1:7" x14ac:dyDescent="0.25">
      <c r="A5" s="1">
        <f>B20</f>
        <v>5</v>
      </c>
      <c r="B5" s="53"/>
      <c r="C5" s="53"/>
      <c r="D5" s="53"/>
      <c r="E5" s="53"/>
      <c r="F5" s="53"/>
      <c r="G5" s="53"/>
    </row>
    <row r="6" spans="1:7" x14ac:dyDescent="0.25">
      <c r="A6" s="1">
        <f t="shared" ref="A6:A13" si="0">A5+B$21</f>
        <v>10</v>
      </c>
      <c r="B6" s="53"/>
      <c r="C6" s="53"/>
      <c r="D6" s="53"/>
      <c r="E6" s="53"/>
      <c r="F6" s="53"/>
      <c r="G6" s="53"/>
    </row>
    <row r="7" spans="1:7" x14ac:dyDescent="0.25">
      <c r="A7" s="1">
        <f t="shared" si="0"/>
        <v>15</v>
      </c>
      <c r="B7" s="53"/>
      <c r="C7" s="53"/>
      <c r="D7" s="53"/>
      <c r="E7" s="53"/>
      <c r="F7" s="53"/>
      <c r="G7" s="53"/>
    </row>
    <row r="8" spans="1:7" x14ac:dyDescent="0.25">
      <c r="A8" s="1">
        <f t="shared" si="0"/>
        <v>20</v>
      </c>
      <c r="B8" s="53"/>
      <c r="C8" s="53"/>
      <c r="D8" s="53"/>
      <c r="E8" s="53"/>
      <c r="F8" s="53"/>
      <c r="G8" s="53"/>
    </row>
    <row r="9" spans="1:7" x14ac:dyDescent="0.25">
      <c r="A9" s="1">
        <f t="shared" si="0"/>
        <v>25</v>
      </c>
      <c r="B9" s="53"/>
      <c r="C9" s="53"/>
      <c r="D9" s="53"/>
      <c r="E9" s="53"/>
      <c r="F9" s="53"/>
      <c r="G9" s="53"/>
    </row>
    <row r="10" spans="1:7" x14ac:dyDescent="0.25">
      <c r="A10" s="1">
        <f t="shared" si="0"/>
        <v>30</v>
      </c>
      <c r="B10" s="53"/>
      <c r="C10" s="53"/>
      <c r="D10" s="53"/>
      <c r="E10" s="53"/>
      <c r="F10" s="53"/>
      <c r="G10" s="53"/>
    </row>
    <row r="11" spans="1:7" x14ac:dyDescent="0.25">
      <c r="A11" s="1">
        <f t="shared" si="0"/>
        <v>35</v>
      </c>
      <c r="B11" s="53"/>
      <c r="C11" s="53"/>
      <c r="D11" s="53"/>
      <c r="E11" s="53"/>
      <c r="F11" s="53"/>
      <c r="G11" s="53"/>
    </row>
    <row r="12" spans="1:7" x14ac:dyDescent="0.25">
      <c r="A12" s="1">
        <f t="shared" si="0"/>
        <v>40</v>
      </c>
      <c r="B12" s="53"/>
      <c r="C12" s="53"/>
      <c r="D12" s="53"/>
      <c r="E12" s="53"/>
      <c r="F12" s="53"/>
      <c r="G12" s="53"/>
    </row>
    <row r="13" spans="1:7" x14ac:dyDescent="0.25">
      <c r="A13" s="1">
        <f t="shared" si="0"/>
        <v>45</v>
      </c>
      <c r="B13" s="53"/>
      <c r="C13" s="53"/>
      <c r="D13" s="53"/>
      <c r="E13" s="53"/>
      <c r="F13" s="53"/>
      <c r="G13" s="53"/>
    </row>
    <row r="15" spans="1:7" x14ac:dyDescent="0.25">
      <c r="A15" s="152" t="s">
        <v>452</v>
      </c>
    </row>
    <row r="17" spans="1:2" x14ac:dyDescent="0.25">
      <c r="A17" s="109" t="s">
        <v>264</v>
      </c>
      <c r="B17" s="109"/>
    </row>
    <row r="18" spans="1:2" x14ac:dyDescent="0.25">
      <c r="A18" s="3" t="s">
        <v>332</v>
      </c>
      <c r="B18" s="120">
        <v>0.06</v>
      </c>
    </row>
    <row r="19" spans="1:2" x14ac:dyDescent="0.25">
      <c r="A19" s="3" t="s">
        <v>333</v>
      </c>
      <c r="B19" s="120">
        <v>0.01</v>
      </c>
    </row>
    <row r="20" spans="1:2" x14ac:dyDescent="0.25">
      <c r="A20" s="3" t="s">
        <v>334</v>
      </c>
      <c r="B20" s="3">
        <v>5</v>
      </c>
    </row>
    <row r="21" spans="1:2" x14ac:dyDescent="0.25">
      <c r="A21" s="3" t="s">
        <v>272</v>
      </c>
      <c r="B21" s="3">
        <v>5</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1"/>
  <sheetViews>
    <sheetView workbookViewId="0">
      <selection activeCell="C21" sqref="C21"/>
    </sheetView>
  </sheetViews>
  <sheetFormatPr defaultColWidth="9.140625" defaultRowHeight="15" x14ac:dyDescent="0.25"/>
  <cols>
    <col min="1" max="1" width="11.42578125" bestFit="1" customWidth="1"/>
    <col min="2" max="3" width="14.28515625" bestFit="1" customWidth="1"/>
    <col min="4" max="4" width="14.42578125" bestFit="1" customWidth="1"/>
    <col min="5" max="7" width="15.28515625" bestFit="1" customWidth="1"/>
  </cols>
  <sheetData>
    <row r="1" spans="1:7" x14ac:dyDescent="0.25">
      <c r="A1" s="1" t="s">
        <v>329</v>
      </c>
      <c r="B1" s="91">
        <v>3000</v>
      </c>
    </row>
    <row r="3" spans="1:7" x14ac:dyDescent="0.25">
      <c r="A3" s="118" t="s">
        <v>330</v>
      </c>
      <c r="B3" s="118"/>
      <c r="C3" s="118"/>
      <c r="D3" s="118"/>
      <c r="E3" s="118"/>
      <c r="F3" s="118"/>
      <c r="G3" s="118"/>
    </row>
    <row r="4" spans="1:7" x14ac:dyDescent="0.25">
      <c r="A4" s="3" t="s">
        <v>331</v>
      </c>
      <c r="B4" s="119">
        <f>B18</f>
        <v>0.06</v>
      </c>
      <c r="C4" s="119">
        <f>B4+$B19</f>
        <v>6.9999999999999993E-2</v>
      </c>
      <c r="D4" s="119">
        <f>C4+$B19</f>
        <v>7.9999999999999988E-2</v>
      </c>
      <c r="E4" s="119">
        <f>D4+$B19</f>
        <v>8.9999999999999983E-2</v>
      </c>
      <c r="F4" s="119">
        <f>E4+$B19</f>
        <v>9.9999999999999978E-2</v>
      </c>
      <c r="G4" s="119">
        <f>F4+$B19</f>
        <v>0.10999999999999997</v>
      </c>
    </row>
    <row r="5" spans="1:7" x14ac:dyDescent="0.25">
      <c r="A5" s="1">
        <f>B20</f>
        <v>5</v>
      </c>
      <c r="B5" s="53">
        <f t="shared" ref="B5:G13" si="0">FV(B$4,$A5,-$B$1)</f>
        <v>16911.278880000023</v>
      </c>
      <c r="C5" s="53">
        <f t="shared" si="0"/>
        <v>17252.217030000007</v>
      </c>
      <c r="D5" s="53">
        <f t="shared" si="0"/>
        <v>17599.802880000014</v>
      </c>
      <c r="E5" s="53">
        <f t="shared" si="0"/>
        <v>17954.13183000002</v>
      </c>
      <c r="F5" s="53">
        <f t="shared" si="0"/>
        <v>18315.300000000021</v>
      </c>
      <c r="G5" s="53">
        <f t="shared" si="0"/>
        <v>18683.404229999978</v>
      </c>
    </row>
    <row r="6" spans="1:7" x14ac:dyDescent="0.25">
      <c r="A6" s="1">
        <f t="shared" ref="A6:A13" si="1">A5+B$21</f>
        <v>10</v>
      </c>
      <c r="B6" s="53">
        <f t="shared" si="0"/>
        <v>39542.384827142727</v>
      </c>
      <c r="C6" s="53">
        <f t="shared" si="0"/>
        <v>41449.343883838526</v>
      </c>
      <c r="D6" s="53">
        <f t="shared" si="0"/>
        <v>43459.687397729547</v>
      </c>
      <c r="E6" s="53">
        <f t="shared" si="0"/>
        <v>45578.789153070633</v>
      </c>
      <c r="F6" s="53">
        <f t="shared" si="0"/>
        <v>47812.273803000062</v>
      </c>
      <c r="G6" s="53">
        <f t="shared" si="0"/>
        <v>50166.026892791255</v>
      </c>
    </row>
    <row r="7" spans="1:7" x14ac:dyDescent="0.25">
      <c r="A7" s="1">
        <f t="shared" si="1"/>
        <v>15</v>
      </c>
      <c r="B7" s="53">
        <f t="shared" si="0"/>
        <v>69827.909654984629</v>
      </c>
      <c r="C7" s="53">
        <f t="shared" si="0"/>
        <v>75387.066030657195</v>
      </c>
      <c r="D7" s="53">
        <f t="shared" si="0"/>
        <v>81456.341782435193</v>
      </c>
      <c r="E7" s="53">
        <f t="shared" si="0"/>
        <v>88082.748656250784</v>
      </c>
      <c r="F7" s="53">
        <f t="shared" si="0"/>
        <v>95317.445082469683</v>
      </c>
      <c r="G7" s="53">
        <f t="shared" si="0"/>
        <v>103216.07695466376</v>
      </c>
    </row>
    <row r="8" spans="1:7" x14ac:dyDescent="0.25">
      <c r="A8" s="1">
        <f t="shared" si="1"/>
        <v>20</v>
      </c>
      <c r="B8" s="53">
        <f t="shared" si="0"/>
        <v>110356.77361064241</v>
      </c>
      <c r="C8" s="53">
        <f t="shared" si="0"/>
        <v>122986.47696369342</v>
      </c>
      <c r="D8" s="53">
        <f t="shared" si="0"/>
        <v>137285.89289434903</v>
      </c>
      <c r="E8" s="53">
        <f t="shared" si="0"/>
        <v>153480.35892594326</v>
      </c>
      <c r="F8" s="53">
        <f t="shared" si="0"/>
        <v>171824.99847976831</v>
      </c>
      <c r="G8" s="53">
        <f t="shared" si="0"/>
        <v>192608.49643988523</v>
      </c>
    </row>
    <row r="9" spans="1:7" x14ac:dyDescent="0.25">
      <c r="A9" s="1">
        <f t="shared" si="1"/>
        <v>25</v>
      </c>
      <c r="B9" s="53">
        <f t="shared" si="0"/>
        <v>164593.5359871744</v>
      </c>
      <c r="C9" s="53">
        <f t="shared" si="0"/>
        <v>189747.11314812393</v>
      </c>
      <c r="D9" s="53">
        <f t="shared" si="0"/>
        <v>219317.81985822474</v>
      </c>
      <c r="E9" s="53">
        <f t="shared" si="0"/>
        <v>254102.68868010651</v>
      </c>
      <c r="F9" s="53">
        <f t="shared" si="0"/>
        <v>295041.17830165179</v>
      </c>
      <c r="G9" s="53">
        <f t="shared" si="0"/>
        <v>343239.92189757765</v>
      </c>
    </row>
    <row r="10" spans="1:7" x14ac:dyDescent="0.25">
      <c r="A10" s="1">
        <f t="shared" si="1"/>
        <v>30</v>
      </c>
      <c r="B10" s="53">
        <f t="shared" si="0"/>
        <v>237174.558645663</v>
      </c>
      <c r="C10" s="53">
        <f t="shared" si="0"/>
        <v>283382.35897122993</v>
      </c>
      <c r="D10" s="53">
        <f t="shared" si="0"/>
        <v>339849.63334025425</v>
      </c>
      <c r="E10" s="53">
        <f t="shared" si="0"/>
        <v>408922.61563770904</v>
      </c>
      <c r="F10" s="53">
        <f t="shared" si="0"/>
        <v>493482.06806659343</v>
      </c>
      <c r="G10" s="53">
        <f t="shared" si="0"/>
        <v>597062.63377939991</v>
      </c>
    </row>
    <row r="11" spans="1:7" x14ac:dyDescent="0.25">
      <c r="A11" s="1">
        <f t="shared" si="1"/>
        <v>35</v>
      </c>
      <c r="B11" s="53">
        <f t="shared" si="0"/>
        <v>334304.33961561753</v>
      </c>
      <c r="C11" s="53">
        <f t="shared" si="0"/>
        <v>414710.63505494723</v>
      </c>
      <c r="D11" s="53">
        <f t="shared" si="0"/>
        <v>516950.41103702108</v>
      </c>
      <c r="E11" s="53">
        <f t="shared" si="0"/>
        <v>647132.26395054464</v>
      </c>
      <c r="F11" s="53">
        <f t="shared" si="0"/>
        <v>813073.10544192977</v>
      </c>
      <c r="G11" s="53">
        <f t="shared" si="0"/>
        <v>1024768.6643854621</v>
      </c>
    </row>
    <row r="12" spans="1:7" x14ac:dyDescent="0.25">
      <c r="A12" s="1">
        <f t="shared" si="1"/>
        <v>40</v>
      </c>
      <c r="B12" s="53">
        <f t="shared" si="0"/>
        <v>464285.89685629646</v>
      </c>
      <c r="C12" s="53">
        <f t="shared" si="0"/>
        <v>598905.33596601232</v>
      </c>
      <c r="D12" s="53">
        <f t="shared" si="0"/>
        <v>777169.55612999585</v>
      </c>
      <c r="E12" s="53">
        <f t="shared" si="0"/>
        <v>1013647.3351329778</v>
      </c>
      <c r="F12" s="53">
        <f t="shared" si="0"/>
        <v>1327777.6670452824</v>
      </c>
      <c r="G12" s="53">
        <f t="shared" si="0"/>
        <v>1745478.1992436571</v>
      </c>
    </row>
    <row r="13" spans="1:7" x14ac:dyDescent="0.25">
      <c r="A13" s="1">
        <f t="shared" si="1"/>
        <v>45</v>
      </c>
      <c r="B13" s="53">
        <f t="shared" si="0"/>
        <v>638230.54137205158</v>
      </c>
      <c r="C13" s="53">
        <f t="shared" si="0"/>
        <v>857247.93251459557</v>
      </c>
      <c r="D13" s="53">
        <f t="shared" si="0"/>
        <v>1159516.8521359966</v>
      </c>
      <c r="E13" s="53">
        <f t="shared" si="0"/>
        <v>1577576.2034861487</v>
      </c>
      <c r="F13" s="53">
        <f t="shared" si="0"/>
        <v>2156714.5105530987</v>
      </c>
      <c r="G13" s="53">
        <f t="shared" si="0"/>
        <v>2959915.6784147848</v>
      </c>
    </row>
    <row r="15" spans="1:7" x14ac:dyDescent="0.25">
      <c r="A15" s="152" t="s">
        <v>452</v>
      </c>
    </row>
    <row r="17" spans="1:2" x14ac:dyDescent="0.25">
      <c r="A17" s="109" t="s">
        <v>264</v>
      </c>
      <c r="B17" s="109"/>
    </row>
    <row r="18" spans="1:2" x14ac:dyDescent="0.25">
      <c r="A18" s="3" t="s">
        <v>332</v>
      </c>
      <c r="B18" s="120">
        <v>0.06</v>
      </c>
    </row>
    <row r="19" spans="1:2" x14ac:dyDescent="0.25">
      <c r="A19" s="3" t="s">
        <v>333</v>
      </c>
      <c r="B19" s="120">
        <v>0.01</v>
      </c>
    </row>
    <row r="20" spans="1:2" x14ac:dyDescent="0.25">
      <c r="A20" s="3" t="s">
        <v>334</v>
      </c>
      <c r="B20" s="3">
        <v>5</v>
      </c>
    </row>
    <row r="21" spans="1:2" x14ac:dyDescent="0.25">
      <c r="A21" s="3" t="s">
        <v>272</v>
      </c>
      <c r="B21" s="3">
        <v>5</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19"/>
  <sheetViews>
    <sheetView workbookViewId="0">
      <selection activeCell="C21" sqref="C21"/>
    </sheetView>
  </sheetViews>
  <sheetFormatPr defaultRowHeight="15" x14ac:dyDescent="0.25"/>
  <cols>
    <col min="1" max="1" width="14.85546875" customWidth="1"/>
    <col min="2" max="6" width="13.85546875" customWidth="1"/>
    <col min="7" max="7" width="13.7109375" customWidth="1"/>
    <col min="8" max="8" width="10.5703125" bestFit="1" customWidth="1"/>
  </cols>
  <sheetData>
    <row r="1" spans="1:8" x14ac:dyDescent="0.25">
      <c r="A1" s="134" t="s">
        <v>403</v>
      </c>
      <c r="B1" s="134"/>
      <c r="C1" s="134"/>
      <c r="D1" s="134"/>
      <c r="E1" s="134"/>
      <c r="F1" s="134"/>
      <c r="G1" s="134"/>
      <c r="H1" s="134"/>
    </row>
    <row r="2" spans="1:8" x14ac:dyDescent="0.25">
      <c r="A2" s="3"/>
      <c r="B2" s="78" t="s">
        <v>220</v>
      </c>
      <c r="C2" s="78" t="s">
        <v>221</v>
      </c>
      <c r="D2" s="78" t="s">
        <v>231</v>
      </c>
      <c r="E2" s="78" t="s">
        <v>259</v>
      </c>
      <c r="F2" s="78" t="s">
        <v>260</v>
      </c>
      <c r="G2" s="78" t="s">
        <v>261</v>
      </c>
      <c r="H2" s="135" t="s">
        <v>404</v>
      </c>
    </row>
    <row r="3" spans="1:8" x14ac:dyDescent="0.25">
      <c r="A3" s="78" t="s">
        <v>193</v>
      </c>
      <c r="B3" s="136">
        <v>1000</v>
      </c>
      <c r="C3" s="136">
        <v>1250</v>
      </c>
      <c r="D3" s="136">
        <v>1370</v>
      </c>
      <c r="E3" s="136">
        <v>1250</v>
      </c>
      <c r="F3" s="136">
        <v>2000</v>
      </c>
      <c r="G3" s="136">
        <v>2215</v>
      </c>
      <c r="H3" s="137">
        <f t="shared" ref="H3:H10" si="0">SUM(B3:G3)</f>
        <v>9085</v>
      </c>
    </row>
    <row r="4" spans="1:8" x14ac:dyDescent="0.25">
      <c r="A4" s="78" t="str">
        <f t="shared" ref="A4:A9" si="1">A14</f>
        <v>COGS</v>
      </c>
      <c r="B4" s="138">
        <f t="shared" ref="B4:G9" si="2">B$3*$B14</f>
        <v>255</v>
      </c>
      <c r="C4" s="138">
        <f t="shared" si="2"/>
        <v>318.75</v>
      </c>
      <c r="D4" s="138">
        <f t="shared" si="2"/>
        <v>349.35</v>
      </c>
      <c r="E4" s="138">
        <f t="shared" si="2"/>
        <v>318.75</v>
      </c>
      <c r="F4" s="138">
        <f t="shared" si="2"/>
        <v>510</v>
      </c>
      <c r="G4" s="138">
        <f t="shared" si="2"/>
        <v>564.82500000000005</v>
      </c>
      <c r="H4" s="137">
        <f t="shared" si="0"/>
        <v>2316.6750000000002</v>
      </c>
    </row>
    <row r="5" spans="1:8" x14ac:dyDescent="0.25">
      <c r="A5" s="78" t="str">
        <f t="shared" si="1"/>
        <v>Office Expense</v>
      </c>
      <c r="B5" s="138">
        <f t="shared" si="2"/>
        <v>45</v>
      </c>
      <c r="C5" s="138">
        <f t="shared" si="2"/>
        <v>56.25</v>
      </c>
      <c r="D5" s="138">
        <f t="shared" si="2"/>
        <v>61.65</v>
      </c>
      <c r="E5" s="138">
        <f t="shared" si="2"/>
        <v>56.25</v>
      </c>
      <c r="F5" s="138">
        <f t="shared" si="2"/>
        <v>90</v>
      </c>
      <c r="G5" s="138">
        <f t="shared" si="2"/>
        <v>99.674999999999997</v>
      </c>
      <c r="H5" s="137">
        <f t="shared" si="0"/>
        <v>408.82499999999999</v>
      </c>
    </row>
    <row r="6" spans="1:8" x14ac:dyDescent="0.25">
      <c r="A6" s="78" t="str">
        <f t="shared" si="1"/>
        <v>Admin Expense</v>
      </c>
      <c r="B6" s="138">
        <f t="shared" si="2"/>
        <v>75</v>
      </c>
      <c r="C6" s="138">
        <f t="shared" si="2"/>
        <v>93.75</v>
      </c>
      <c r="D6" s="138">
        <f t="shared" si="2"/>
        <v>102.75</v>
      </c>
      <c r="E6" s="138">
        <f t="shared" si="2"/>
        <v>93.75</v>
      </c>
      <c r="F6" s="138">
        <f t="shared" si="2"/>
        <v>150</v>
      </c>
      <c r="G6" s="138">
        <f t="shared" si="2"/>
        <v>166.125</v>
      </c>
      <c r="H6" s="137">
        <f t="shared" si="0"/>
        <v>681.375</v>
      </c>
    </row>
    <row r="7" spans="1:8" x14ac:dyDescent="0.25">
      <c r="A7" s="78" t="str">
        <f t="shared" si="1"/>
        <v>Wage Expense</v>
      </c>
      <c r="B7" s="138">
        <f t="shared" si="2"/>
        <v>225</v>
      </c>
      <c r="C7" s="138">
        <f t="shared" si="2"/>
        <v>281.25</v>
      </c>
      <c r="D7" s="138">
        <f t="shared" si="2"/>
        <v>308.25</v>
      </c>
      <c r="E7" s="138">
        <f t="shared" si="2"/>
        <v>281.25</v>
      </c>
      <c r="F7" s="138">
        <f t="shared" si="2"/>
        <v>450</v>
      </c>
      <c r="G7" s="138">
        <f t="shared" si="2"/>
        <v>498.375</v>
      </c>
      <c r="H7" s="137">
        <f t="shared" si="0"/>
        <v>2044.125</v>
      </c>
    </row>
    <row r="8" spans="1:8" x14ac:dyDescent="0.25">
      <c r="A8" s="78" t="str">
        <f t="shared" si="1"/>
        <v>Other Expense</v>
      </c>
      <c r="B8" s="138">
        <f t="shared" si="2"/>
        <v>45</v>
      </c>
      <c r="C8" s="138">
        <f t="shared" si="2"/>
        <v>56.25</v>
      </c>
      <c r="D8" s="138">
        <f t="shared" si="2"/>
        <v>61.65</v>
      </c>
      <c r="E8" s="138">
        <f t="shared" si="2"/>
        <v>56.25</v>
      </c>
      <c r="F8" s="138">
        <f t="shared" si="2"/>
        <v>90</v>
      </c>
      <c r="G8" s="138">
        <f t="shared" si="2"/>
        <v>99.674999999999997</v>
      </c>
      <c r="H8" s="137">
        <f t="shared" si="0"/>
        <v>408.82499999999999</v>
      </c>
    </row>
    <row r="9" spans="1:8" x14ac:dyDescent="0.25">
      <c r="A9" s="78" t="str">
        <f t="shared" si="1"/>
        <v>Depreciation</v>
      </c>
      <c r="B9" s="138">
        <f t="shared" si="2"/>
        <v>120</v>
      </c>
      <c r="C9" s="138">
        <f t="shared" si="2"/>
        <v>150</v>
      </c>
      <c r="D9" s="138">
        <f t="shared" si="2"/>
        <v>164.4</v>
      </c>
      <c r="E9" s="138">
        <f t="shared" si="2"/>
        <v>150</v>
      </c>
      <c r="F9" s="138">
        <f t="shared" si="2"/>
        <v>240</v>
      </c>
      <c r="G9" s="138">
        <f t="shared" si="2"/>
        <v>265.8</v>
      </c>
      <c r="H9" s="137">
        <f t="shared" si="0"/>
        <v>1090.2</v>
      </c>
    </row>
    <row r="10" spans="1:8" x14ac:dyDescent="0.25">
      <c r="A10" s="135" t="s">
        <v>258</v>
      </c>
      <c r="B10" s="137">
        <f t="shared" ref="B10:G10" si="3">SUM(B4:B9)</f>
        <v>765</v>
      </c>
      <c r="C10" s="137">
        <f t="shared" si="3"/>
        <v>956.25</v>
      </c>
      <c r="D10" s="137">
        <f t="shared" si="3"/>
        <v>1048.05</v>
      </c>
      <c r="E10" s="137">
        <f t="shared" si="3"/>
        <v>956.25</v>
      </c>
      <c r="F10" s="137">
        <f t="shared" si="3"/>
        <v>1530</v>
      </c>
      <c r="G10" s="137">
        <f t="shared" si="3"/>
        <v>1694.4749999999999</v>
      </c>
      <c r="H10" s="137">
        <f t="shared" si="0"/>
        <v>6950.0249999999996</v>
      </c>
    </row>
    <row r="11" spans="1:8" x14ac:dyDescent="0.25">
      <c r="A11" s="78" t="s">
        <v>197</v>
      </c>
      <c r="B11" s="136">
        <f t="shared" ref="B11:H11" si="4">B3-B10</f>
        <v>235</v>
      </c>
      <c r="C11" s="136">
        <f t="shared" si="4"/>
        <v>293.75</v>
      </c>
      <c r="D11" s="136">
        <f t="shared" si="4"/>
        <v>321.95000000000005</v>
      </c>
      <c r="E11" s="136">
        <f t="shared" si="4"/>
        <v>293.75</v>
      </c>
      <c r="F11" s="136">
        <f t="shared" si="4"/>
        <v>470</v>
      </c>
      <c r="G11" s="136">
        <f t="shared" si="4"/>
        <v>520.52500000000009</v>
      </c>
      <c r="H11" s="136">
        <f t="shared" si="4"/>
        <v>2134.9750000000004</v>
      </c>
    </row>
    <row r="13" spans="1:8" x14ac:dyDescent="0.25">
      <c r="A13" s="109" t="s">
        <v>405</v>
      </c>
      <c r="B13" s="109"/>
      <c r="D13" t="s">
        <v>667</v>
      </c>
    </row>
    <row r="14" spans="1:8" x14ac:dyDescent="0.25">
      <c r="A14" s="78" t="s">
        <v>202</v>
      </c>
      <c r="B14" s="139">
        <v>0.255</v>
      </c>
    </row>
    <row r="15" spans="1:8" x14ac:dyDescent="0.25">
      <c r="A15" s="78" t="s">
        <v>650</v>
      </c>
      <c r="B15" s="139">
        <v>4.4999999999999998E-2</v>
      </c>
      <c r="D15" t="s">
        <v>668</v>
      </c>
    </row>
    <row r="16" spans="1:8" x14ac:dyDescent="0.25">
      <c r="A16" s="78" t="s">
        <v>651</v>
      </c>
      <c r="B16" s="139">
        <v>7.4999999999999997E-2</v>
      </c>
    </row>
    <row r="17" spans="1:2" x14ac:dyDescent="0.25">
      <c r="A17" s="78" t="s">
        <v>646</v>
      </c>
      <c r="B17" s="139">
        <v>0.22500000000000001</v>
      </c>
    </row>
    <row r="18" spans="1:2" x14ac:dyDescent="0.25">
      <c r="A18" s="78" t="s">
        <v>483</v>
      </c>
      <c r="B18" s="139">
        <v>4.4999999999999998E-2</v>
      </c>
    </row>
    <row r="19" spans="1:2" x14ac:dyDescent="0.25">
      <c r="A19" s="78" t="s">
        <v>649</v>
      </c>
      <c r="B19" s="139">
        <v>0.12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9"/>
  <sheetViews>
    <sheetView zoomScaleNormal="100" workbookViewId="0">
      <selection activeCell="C21" sqref="C21"/>
    </sheetView>
  </sheetViews>
  <sheetFormatPr defaultRowHeight="15" x14ac:dyDescent="0.25"/>
  <cols>
    <col min="1" max="1" width="14.85546875" customWidth="1"/>
    <col min="2" max="6" width="13.85546875" customWidth="1"/>
    <col min="7" max="7" width="13.7109375" customWidth="1"/>
    <col min="8" max="8" width="10.5703125" bestFit="1" customWidth="1"/>
  </cols>
  <sheetData>
    <row r="1" spans="1:8" x14ac:dyDescent="0.25">
      <c r="A1" s="134" t="s">
        <v>403</v>
      </c>
      <c r="B1" s="134"/>
      <c r="C1" s="134"/>
      <c r="D1" s="134"/>
      <c r="E1" s="134"/>
      <c r="F1" s="134"/>
      <c r="G1" s="134"/>
      <c r="H1" s="134"/>
    </row>
    <row r="2" spans="1:8" x14ac:dyDescent="0.25">
      <c r="A2" s="3"/>
      <c r="B2" s="78" t="s">
        <v>220</v>
      </c>
      <c r="C2" s="78" t="s">
        <v>221</v>
      </c>
      <c r="D2" s="78" t="s">
        <v>231</v>
      </c>
      <c r="E2" s="78" t="s">
        <v>259</v>
      </c>
      <c r="F2" s="78" t="s">
        <v>260</v>
      </c>
      <c r="G2" s="78" t="s">
        <v>261</v>
      </c>
      <c r="H2" s="135" t="s">
        <v>404</v>
      </c>
    </row>
    <row r="3" spans="1:8" x14ac:dyDescent="0.25">
      <c r="A3" s="78" t="s">
        <v>193</v>
      </c>
      <c r="B3" s="136">
        <v>1000</v>
      </c>
      <c r="C3" s="136">
        <v>1250</v>
      </c>
      <c r="D3" s="136">
        <v>1370</v>
      </c>
      <c r="E3" s="136">
        <v>1250</v>
      </c>
      <c r="F3" s="136">
        <v>2000</v>
      </c>
      <c r="G3" s="136">
        <v>2215</v>
      </c>
      <c r="H3" s="137">
        <f t="shared" ref="H3:H10" si="0">SUM(B3:G3)</f>
        <v>9085</v>
      </c>
    </row>
    <row r="4" spans="1:8" x14ac:dyDescent="0.25">
      <c r="A4" s="78" t="str">
        <f t="shared" ref="A4:A9" si="1">A14</f>
        <v>COGS</v>
      </c>
      <c r="B4" s="138">
        <f t="shared" ref="B4:G9" si="2">B$3*$B14</f>
        <v>297</v>
      </c>
      <c r="C4" s="138">
        <f t="shared" si="2"/>
        <v>371.25</v>
      </c>
      <c r="D4" s="138">
        <f t="shared" si="2"/>
        <v>406.89</v>
      </c>
      <c r="E4" s="138">
        <f t="shared" si="2"/>
        <v>371.25</v>
      </c>
      <c r="F4" s="138">
        <f t="shared" si="2"/>
        <v>594</v>
      </c>
      <c r="G4" s="138">
        <f t="shared" si="2"/>
        <v>657.85500000000002</v>
      </c>
      <c r="H4" s="137">
        <f t="shared" si="0"/>
        <v>2698.2449999999999</v>
      </c>
    </row>
    <row r="5" spans="1:8" x14ac:dyDescent="0.25">
      <c r="A5" s="78" t="str">
        <f t="shared" si="1"/>
        <v>Office Expense</v>
      </c>
      <c r="B5" s="138">
        <f t="shared" si="2"/>
        <v>66</v>
      </c>
      <c r="C5" s="138">
        <f t="shared" si="2"/>
        <v>82.5</v>
      </c>
      <c r="D5" s="138">
        <f t="shared" si="2"/>
        <v>90.42</v>
      </c>
      <c r="E5" s="138">
        <f t="shared" si="2"/>
        <v>82.5</v>
      </c>
      <c r="F5" s="138">
        <f t="shared" si="2"/>
        <v>132</v>
      </c>
      <c r="G5" s="138">
        <f t="shared" si="2"/>
        <v>146.19</v>
      </c>
      <c r="H5" s="137">
        <f t="shared" si="0"/>
        <v>599.61</v>
      </c>
    </row>
    <row r="6" spans="1:8" x14ac:dyDescent="0.25">
      <c r="A6" s="78" t="str">
        <f t="shared" si="1"/>
        <v>Admin Expense</v>
      </c>
      <c r="B6" s="138">
        <f t="shared" si="2"/>
        <v>44</v>
      </c>
      <c r="C6" s="138">
        <f t="shared" si="2"/>
        <v>55</v>
      </c>
      <c r="D6" s="138">
        <f t="shared" si="2"/>
        <v>60.279999999999994</v>
      </c>
      <c r="E6" s="138">
        <f t="shared" si="2"/>
        <v>55</v>
      </c>
      <c r="F6" s="138">
        <f t="shared" si="2"/>
        <v>88</v>
      </c>
      <c r="G6" s="138">
        <f t="shared" si="2"/>
        <v>97.46</v>
      </c>
      <c r="H6" s="137">
        <f t="shared" si="0"/>
        <v>399.73999999999995</v>
      </c>
    </row>
    <row r="7" spans="1:8" x14ac:dyDescent="0.25">
      <c r="A7" s="78" t="str">
        <f t="shared" si="1"/>
        <v>Wage Expense</v>
      </c>
      <c r="B7" s="138">
        <f t="shared" si="2"/>
        <v>297</v>
      </c>
      <c r="C7" s="138">
        <f t="shared" si="2"/>
        <v>371.25</v>
      </c>
      <c r="D7" s="138">
        <f t="shared" si="2"/>
        <v>406.89</v>
      </c>
      <c r="E7" s="138">
        <f t="shared" si="2"/>
        <v>371.25</v>
      </c>
      <c r="F7" s="138">
        <f t="shared" si="2"/>
        <v>594</v>
      </c>
      <c r="G7" s="138">
        <f t="shared" si="2"/>
        <v>657.85500000000002</v>
      </c>
      <c r="H7" s="137">
        <f t="shared" si="0"/>
        <v>2698.2449999999999</v>
      </c>
    </row>
    <row r="8" spans="1:8" x14ac:dyDescent="0.25">
      <c r="A8" s="78" t="str">
        <f t="shared" si="1"/>
        <v>Other Expense</v>
      </c>
      <c r="B8" s="138">
        <f t="shared" si="2"/>
        <v>33</v>
      </c>
      <c r="C8" s="138">
        <f t="shared" si="2"/>
        <v>41.25</v>
      </c>
      <c r="D8" s="138">
        <f t="shared" si="2"/>
        <v>45.21</v>
      </c>
      <c r="E8" s="138">
        <f t="shared" si="2"/>
        <v>41.25</v>
      </c>
      <c r="F8" s="138">
        <f t="shared" si="2"/>
        <v>66</v>
      </c>
      <c r="G8" s="138">
        <f t="shared" si="2"/>
        <v>73.094999999999999</v>
      </c>
      <c r="H8" s="137">
        <f t="shared" si="0"/>
        <v>299.80500000000001</v>
      </c>
    </row>
    <row r="9" spans="1:8" x14ac:dyDescent="0.25">
      <c r="A9" s="78" t="str">
        <f t="shared" si="1"/>
        <v>Depreciation</v>
      </c>
      <c r="B9" s="138">
        <f t="shared" si="2"/>
        <v>88</v>
      </c>
      <c r="C9" s="138">
        <f t="shared" si="2"/>
        <v>110</v>
      </c>
      <c r="D9" s="138">
        <f t="shared" si="2"/>
        <v>120.55999999999999</v>
      </c>
      <c r="E9" s="138">
        <f t="shared" si="2"/>
        <v>110</v>
      </c>
      <c r="F9" s="138">
        <f t="shared" si="2"/>
        <v>176</v>
      </c>
      <c r="G9" s="138">
        <f t="shared" si="2"/>
        <v>194.92</v>
      </c>
      <c r="H9" s="137">
        <f t="shared" si="0"/>
        <v>799.4799999999999</v>
      </c>
    </row>
    <row r="10" spans="1:8" x14ac:dyDescent="0.25">
      <c r="A10" s="135" t="s">
        <v>258</v>
      </c>
      <c r="B10" s="137">
        <f t="shared" ref="B10:G10" si="3">SUM(B4:B9)</f>
        <v>825</v>
      </c>
      <c r="C10" s="137">
        <f t="shared" si="3"/>
        <v>1031.25</v>
      </c>
      <c r="D10" s="137">
        <f t="shared" si="3"/>
        <v>1130.25</v>
      </c>
      <c r="E10" s="137">
        <f t="shared" si="3"/>
        <v>1031.25</v>
      </c>
      <c r="F10" s="137">
        <f t="shared" si="3"/>
        <v>1650</v>
      </c>
      <c r="G10" s="137">
        <f t="shared" si="3"/>
        <v>1827.3750000000002</v>
      </c>
      <c r="H10" s="137">
        <f t="shared" si="0"/>
        <v>7495.125</v>
      </c>
    </row>
    <row r="11" spans="1:8" x14ac:dyDescent="0.25">
      <c r="A11" s="78" t="s">
        <v>197</v>
      </c>
      <c r="B11" s="136">
        <f t="shared" ref="B11:H11" si="4">B3-B10</f>
        <v>175</v>
      </c>
      <c r="C11" s="136">
        <f t="shared" si="4"/>
        <v>218.75</v>
      </c>
      <c r="D11" s="136">
        <f t="shared" si="4"/>
        <v>239.75</v>
      </c>
      <c r="E11" s="136">
        <f t="shared" si="4"/>
        <v>218.75</v>
      </c>
      <c r="F11" s="136">
        <f t="shared" si="4"/>
        <v>350</v>
      </c>
      <c r="G11" s="136">
        <f t="shared" si="4"/>
        <v>387.62499999999977</v>
      </c>
      <c r="H11" s="136">
        <f t="shared" si="4"/>
        <v>1589.875</v>
      </c>
    </row>
    <row r="13" spans="1:8" x14ac:dyDescent="0.25">
      <c r="A13" s="109" t="s">
        <v>405</v>
      </c>
      <c r="B13" s="109"/>
      <c r="D13" t="s">
        <v>667</v>
      </c>
    </row>
    <row r="14" spans="1:8" x14ac:dyDescent="0.25">
      <c r="A14" s="78" t="s">
        <v>202</v>
      </c>
      <c r="B14" s="139">
        <v>0.29699999999999999</v>
      </c>
    </row>
    <row r="15" spans="1:8" x14ac:dyDescent="0.25">
      <c r="A15" s="78" t="s">
        <v>650</v>
      </c>
      <c r="B15" s="139">
        <v>6.6000000000000003E-2</v>
      </c>
      <c r="D15" t="s">
        <v>668</v>
      </c>
    </row>
    <row r="16" spans="1:8" x14ac:dyDescent="0.25">
      <c r="A16" s="78" t="s">
        <v>651</v>
      </c>
      <c r="B16" s="139">
        <v>4.3999999999999997E-2</v>
      </c>
    </row>
    <row r="17" spans="1:2" x14ac:dyDescent="0.25">
      <c r="A17" s="78" t="s">
        <v>646</v>
      </c>
      <c r="B17" s="139">
        <v>0.29699999999999999</v>
      </c>
    </row>
    <row r="18" spans="1:2" x14ac:dyDescent="0.25">
      <c r="A18" s="78" t="s">
        <v>483</v>
      </c>
      <c r="B18" s="139">
        <v>3.3000000000000002E-2</v>
      </c>
    </row>
    <row r="19" spans="1:2" x14ac:dyDescent="0.25">
      <c r="A19" s="78" t="s">
        <v>649</v>
      </c>
      <c r="B19" s="139">
        <v>8.7999999999999995E-2</v>
      </c>
    </row>
  </sheetData>
  <scenarios current="2" show="2">
    <scenario name="AnswerSheetSet01" locked="1" count="12" user="Girvin, Michael" comment="Created by Girvin, Michael on 10/3/2013_x000a_Modified by Girvin, Michael on 10/3/2013">
      <inputCells r="A14" val="COGS"/>
      <inputCells r="B14" val="0.255" numFmtId="10"/>
      <inputCells r="A15" val="Office Expense"/>
      <inputCells r="B15" val="0.045" numFmtId="10"/>
      <inputCells r="A16" val="Admin Expense"/>
      <inputCells r="B16" val="0.075" numFmtId="10"/>
      <inputCells r="A17" val="Wage Expense"/>
      <inputCells r="B17" val="0.225" numFmtId="10"/>
      <inputCells r="A18" val="Other Expense"/>
      <inputCells r="B18" val="0.045" numFmtId="10"/>
      <inputCells r="A19" val="Depreciation"/>
      <inputCells r="B19" val="0.12" numFmtId="10"/>
    </scenario>
    <scenario name="AnswerSheetSet02" locked="1" count="12" user="Girvin, Michael" comment="Created by Girvin, Michael on 10/3/2013_x000a_Modified by Girvin, Michael on 10/3/2013">
      <inputCells r="A14" val="COGS"/>
      <inputCells r="B14" val="0.27" numFmtId="10"/>
      <inputCells r="A15" val="Office Expense"/>
      <inputCells r="B15" val="0.06" numFmtId="10"/>
      <inputCells r="A16" val="Admin Expense"/>
      <inputCells r="B16" val="0.04" numFmtId="10"/>
      <inputCells r="A17" val="Wage Expense"/>
      <inputCells r="B17" val="0.27" numFmtId="10"/>
      <inputCells r="A18" val="Other Expense"/>
      <inputCells r="B18" val="0.03" numFmtId="10"/>
      <inputCells r="A19" val="Depreciation"/>
      <inputCells r="B19" val="0.08" numFmtId="10"/>
    </scenario>
    <scenario name="AnswerSheetSet03" locked="1" count="12" user="Girvin, Michael" comment="Created by Girvin, Michael on 10/3/2013_x000a_Modified by Girvin, Michael on 10/3/2013">
      <inputCells r="A14" val="COGS"/>
      <inputCells r="B14" val="0.297" numFmtId="10"/>
      <inputCells r="A15" val="Office Expense"/>
      <inputCells r="B15" val="0.066" numFmtId="10"/>
      <inputCells r="A16" val="Admin Expense"/>
      <inputCells r="B16" val="0.044" numFmtId="10"/>
      <inputCells r="A17" val="Wage Expense"/>
      <inputCells r="B17" val="0.297" numFmtId="10"/>
      <inputCells r="A18" val="Other Expense"/>
      <inputCells r="B18" val="0.033" numFmtId="10"/>
      <inputCells r="A19" val="Depreciation"/>
      <inputCells r="B19" val="0.088" numFmtId="10"/>
    </scenario>
  </scenario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17"/>
  <sheetViews>
    <sheetView zoomScale="130" zoomScaleNormal="130" workbookViewId="0">
      <selection activeCell="B13" sqref="B13"/>
    </sheetView>
  </sheetViews>
  <sheetFormatPr defaultRowHeight="15" x14ac:dyDescent="0.25"/>
  <cols>
    <col min="1" max="1" width="14.42578125" customWidth="1"/>
    <col min="2" max="2" width="16.140625" customWidth="1"/>
  </cols>
  <sheetData>
    <row r="1" spans="1:8" ht="30" x14ac:dyDescent="0.25">
      <c r="A1" s="134" t="s">
        <v>406</v>
      </c>
      <c r="B1" s="134"/>
    </row>
    <row r="2" spans="1:8" x14ac:dyDescent="0.25">
      <c r="A2" s="5" t="s">
        <v>128</v>
      </c>
      <c r="B2" s="5" t="s">
        <v>407</v>
      </c>
      <c r="D2" t="s">
        <v>669</v>
      </c>
    </row>
    <row r="3" spans="1:8" x14ac:dyDescent="0.25">
      <c r="A3" t="s">
        <v>408</v>
      </c>
      <c r="B3" s="153">
        <v>50</v>
      </c>
    </row>
    <row r="4" spans="1:8" x14ac:dyDescent="0.25">
      <c r="A4" t="s">
        <v>409</v>
      </c>
      <c r="B4" s="153">
        <v>601</v>
      </c>
    </row>
    <row r="5" spans="1:8" x14ac:dyDescent="0.25">
      <c r="A5" t="s">
        <v>410</v>
      </c>
      <c r="B5" s="153">
        <v>845</v>
      </c>
      <c r="D5" s="68" t="s">
        <v>670</v>
      </c>
      <c r="E5" s="69"/>
      <c r="F5" s="69"/>
      <c r="G5" s="69"/>
      <c r="H5" s="70"/>
    </row>
    <row r="6" spans="1:8" x14ac:dyDescent="0.25">
      <c r="A6" t="s">
        <v>411</v>
      </c>
      <c r="B6" s="153">
        <v>32</v>
      </c>
      <c r="D6" t="s">
        <v>671</v>
      </c>
    </row>
    <row r="7" spans="1:8" x14ac:dyDescent="0.25">
      <c r="A7" t="s">
        <v>412</v>
      </c>
      <c r="B7" s="153">
        <v>155</v>
      </c>
      <c r="D7" t="s">
        <v>672</v>
      </c>
    </row>
    <row r="8" spans="1:8" x14ac:dyDescent="0.25">
      <c r="A8" t="s">
        <v>413</v>
      </c>
      <c r="B8" s="153">
        <v>45</v>
      </c>
      <c r="D8" t="s">
        <v>673</v>
      </c>
    </row>
    <row r="9" spans="1:8" x14ac:dyDescent="0.25">
      <c r="A9" t="s">
        <v>414</v>
      </c>
      <c r="B9" s="153">
        <v>87</v>
      </c>
      <c r="D9" s="208" t="s">
        <v>675</v>
      </c>
    </row>
    <row r="10" spans="1:8" x14ac:dyDescent="0.25">
      <c r="A10" t="s">
        <v>415</v>
      </c>
      <c r="B10" s="153">
        <v>22</v>
      </c>
      <c r="D10" t="s">
        <v>674</v>
      </c>
    </row>
    <row r="11" spans="1:8" ht="15.75" thickBot="1" x14ac:dyDescent="0.3">
      <c r="A11" s="140" t="s">
        <v>416</v>
      </c>
      <c r="B11" s="154">
        <f>SUM(B3:B10)</f>
        <v>1837</v>
      </c>
    </row>
    <row r="12" spans="1:8" ht="15.75" thickTop="1" x14ac:dyDescent="0.25"/>
    <row r="13" spans="1:8" ht="30" x14ac:dyDescent="0.25">
      <c r="A13" s="141" t="s">
        <v>417</v>
      </c>
      <c r="B13" s="64"/>
    </row>
    <row r="17" spans="1:2" ht="30" x14ac:dyDescent="0.25">
      <c r="A17" s="141" t="s">
        <v>417</v>
      </c>
      <c r="B17" s="6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7"/>
  <sheetViews>
    <sheetView zoomScale="130" zoomScaleNormal="130" workbookViewId="0">
      <selection activeCell="B13" sqref="B13"/>
    </sheetView>
  </sheetViews>
  <sheetFormatPr defaultRowHeight="15" x14ac:dyDescent="0.25"/>
  <cols>
    <col min="1" max="1" width="14.42578125" customWidth="1"/>
    <col min="2" max="2" width="16.140625" customWidth="1"/>
  </cols>
  <sheetData>
    <row r="1" spans="1:8" ht="30" x14ac:dyDescent="0.25">
      <c r="A1" s="134" t="s">
        <v>406</v>
      </c>
      <c r="B1" s="134"/>
    </row>
    <row r="2" spans="1:8" x14ac:dyDescent="0.25">
      <c r="A2" s="5" t="s">
        <v>128</v>
      </c>
      <c r="B2" s="5" t="s">
        <v>407</v>
      </c>
      <c r="D2" t="s">
        <v>669</v>
      </c>
    </row>
    <row r="3" spans="1:8" x14ac:dyDescent="0.25">
      <c r="A3" t="s">
        <v>408</v>
      </c>
      <c r="B3" s="153">
        <v>50</v>
      </c>
    </row>
    <row r="4" spans="1:8" x14ac:dyDescent="0.25">
      <c r="A4" t="s">
        <v>409</v>
      </c>
      <c r="B4" s="153">
        <v>601</v>
      </c>
    </row>
    <row r="5" spans="1:8" x14ac:dyDescent="0.25">
      <c r="A5" t="s">
        <v>410</v>
      </c>
      <c r="B5" s="153">
        <v>845</v>
      </c>
      <c r="D5" s="68" t="s">
        <v>670</v>
      </c>
      <c r="E5" s="69"/>
      <c r="F5" s="69"/>
      <c r="G5" s="69"/>
      <c r="H5" s="70"/>
    </row>
    <row r="6" spans="1:8" x14ac:dyDescent="0.25">
      <c r="A6" t="s">
        <v>411</v>
      </c>
      <c r="B6" s="153">
        <v>32</v>
      </c>
      <c r="D6" t="s">
        <v>671</v>
      </c>
    </row>
    <row r="7" spans="1:8" x14ac:dyDescent="0.25">
      <c r="A7" t="s">
        <v>412</v>
      </c>
      <c r="B7" s="153">
        <v>155</v>
      </c>
      <c r="D7" t="s">
        <v>672</v>
      </c>
    </row>
    <row r="8" spans="1:8" x14ac:dyDescent="0.25">
      <c r="A8" t="s">
        <v>413</v>
      </c>
      <c r="B8" s="153">
        <v>45</v>
      </c>
      <c r="D8" t="s">
        <v>673</v>
      </c>
    </row>
    <row r="9" spans="1:8" x14ac:dyDescent="0.25">
      <c r="A9" t="s">
        <v>414</v>
      </c>
      <c r="B9" s="153">
        <v>87</v>
      </c>
      <c r="D9" s="208" t="s">
        <v>675</v>
      </c>
    </row>
    <row r="10" spans="1:8" x14ac:dyDescent="0.25">
      <c r="A10" t="s">
        <v>415</v>
      </c>
      <c r="B10" s="153">
        <v>22</v>
      </c>
      <c r="D10" t="s">
        <v>674</v>
      </c>
    </row>
    <row r="11" spans="1:8" ht="15.75" thickBot="1" x14ac:dyDescent="0.3">
      <c r="A11" s="140" t="s">
        <v>416</v>
      </c>
      <c r="B11" s="154">
        <f>SUM(B3:B10)</f>
        <v>1837</v>
      </c>
    </row>
    <row r="12" spans="1:8" ht="15.75" thickTop="1" x14ac:dyDescent="0.25"/>
    <row r="13" spans="1:8" ht="30" x14ac:dyDescent="0.25">
      <c r="A13" s="141" t="s">
        <v>417</v>
      </c>
      <c r="B13" s="64" t="b">
        <f>B11=CAR!A5</f>
        <v>0</v>
      </c>
    </row>
    <row r="17" spans="1:2" ht="30" x14ac:dyDescent="0.25">
      <c r="A17" s="141" t="s">
        <v>417</v>
      </c>
      <c r="B17" s="6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R271"/>
  <sheetViews>
    <sheetView workbookViewId="0">
      <selection activeCell="C21" sqref="C21"/>
    </sheetView>
  </sheetViews>
  <sheetFormatPr defaultRowHeight="15" x14ac:dyDescent="0.25"/>
  <cols>
    <col min="1" max="1" width="5.5703125" customWidth="1"/>
    <col min="2" max="2" width="25.85546875" customWidth="1"/>
    <col min="3" max="3" width="19.5703125" customWidth="1"/>
    <col min="4" max="4" width="21.85546875" customWidth="1"/>
    <col min="5" max="5" width="21.42578125" bestFit="1" customWidth="1"/>
    <col min="6" max="6" width="12.42578125" customWidth="1"/>
    <col min="7" max="7" width="9.7109375" bestFit="1" customWidth="1"/>
    <col min="18" max="18" width="12.7109375" customWidth="1"/>
  </cols>
  <sheetData>
    <row r="1" spans="1:5" x14ac:dyDescent="0.25">
      <c r="A1" s="5" t="s">
        <v>84</v>
      </c>
      <c r="B1" s="49" t="s">
        <v>85</v>
      </c>
      <c r="C1" s="17"/>
      <c r="D1" s="17"/>
      <c r="E1" s="18"/>
    </row>
    <row r="2" spans="1:5" x14ac:dyDescent="0.25">
      <c r="B2" s="41" t="s">
        <v>86</v>
      </c>
      <c r="C2" s="21"/>
      <c r="D2" s="21"/>
      <c r="E2" s="22"/>
    </row>
    <row r="3" spans="1:5" x14ac:dyDescent="0.25">
      <c r="B3" s="51" t="s">
        <v>87</v>
      </c>
      <c r="C3" s="21"/>
      <c r="D3" s="21"/>
      <c r="E3" s="22"/>
    </row>
    <row r="4" spans="1:5" x14ac:dyDescent="0.25">
      <c r="B4" s="41" t="s">
        <v>99</v>
      </c>
      <c r="C4" s="21"/>
      <c r="D4" s="21"/>
      <c r="E4" s="22"/>
    </row>
    <row r="5" spans="1:5" x14ac:dyDescent="0.25">
      <c r="B5" s="24" t="s">
        <v>132</v>
      </c>
      <c r="C5" s="25"/>
      <c r="D5" s="25"/>
      <c r="E5" s="26"/>
    </row>
    <row r="6" spans="1:5" x14ac:dyDescent="0.25">
      <c r="B6" s="58" t="s">
        <v>89</v>
      </c>
      <c r="C6" s="59">
        <v>0.33333333333333331</v>
      </c>
    </row>
    <row r="7" spans="1:5" x14ac:dyDescent="0.25">
      <c r="B7" s="52" t="s">
        <v>90</v>
      </c>
      <c r="C7" s="54">
        <v>0.54166666666666663</v>
      </c>
    </row>
    <row r="8" spans="1:5" x14ac:dyDescent="0.25">
      <c r="B8" s="60" t="s">
        <v>93</v>
      </c>
      <c r="C8" s="61"/>
      <c r="E8" t="s">
        <v>88</v>
      </c>
    </row>
    <row r="9" spans="1:5" x14ac:dyDescent="0.25">
      <c r="A9" s="5" t="s">
        <v>97</v>
      </c>
      <c r="B9" s="49" t="s">
        <v>87</v>
      </c>
      <c r="C9" s="17"/>
      <c r="D9" s="18"/>
    </row>
    <row r="10" spans="1:5" x14ac:dyDescent="0.25">
      <c r="B10" s="24" t="s">
        <v>98</v>
      </c>
      <c r="C10" s="25"/>
      <c r="D10" s="26"/>
    </row>
    <row r="11" spans="1:5" x14ac:dyDescent="0.25">
      <c r="B11" s="58" t="s">
        <v>91</v>
      </c>
      <c r="C11" s="62">
        <v>19.75</v>
      </c>
    </row>
    <row r="12" spans="1:5" x14ac:dyDescent="0.25">
      <c r="B12" s="52" t="s">
        <v>92</v>
      </c>
      <c r="C12" s="53"/>
      <c r="E12" t="s">
        <v>88</v>
      </c>
    </row>
    <row r="14" spans="1:5" x14ac:dyDescent="0.25">
      <c r="B14" s="49" t="s">
        <v>100</v>
      </c>
      <c r="C14" s="18"/>
      <c r="E14" t="s">
        <v>101</v>
      </c>
    </row>
    <row r="15" spans="1:5" x14ac:dyDescent="0.25">
      <c r="B15" s="55" t="s">
        <v>94</v>
      </c>
      <c r="C15" s="22"/>
    </row>
    <row r="16" spans="1:5" x14ac:dyDescent="0.25">
      <c r="B16" s="56" t="s">
        <v>95</v>
      </c>
      <c r="C16" s="22"/>
    </row>
    <row r="17" spans="1:14" x14ac:dyDescent="0.25">
      <c r="B17" s="55" t="s">
        <v>96</v>
      </c>
      <c r="C17" s="22"/>
    </row>
    <row r="18" spans="1:14" x14ac:dyDescent="0.25">
      <c r="B18" s="57" t="s">
        <v>642</v>
      </c>
      <c r="C18" s="26"/>
      <c r="N18" t="s">
        <v>107</v>
      </c>
    </row>
    <row r="19" spans="1:14" x14ac:dyDescent="0.25">
      <c r="N19" t="s">
        <v>108</v>
      </c>
    </row>
    <row r="20" spans="1:14" x14ac:dyDescent="0.25">
      <c r="A20" s="5" t="s">
        <v>102</v>
      </c>
      <c r="B20" s="49" t="s">
        <v>85</v>
      </c>
      <c r="C20" s="17"/>
      <c r="D20" s="18"/>
    </row>
    <row r="21" spans="1:14" x14ac:dyDescent="0.25">
      <c r="B21" s="41" t="s">
        <v>86</v>
      </c>
      <c r="C21" s="21"/>
      <c r="D21" s="22"/>
    </row>
    <row r="22" spans="1:14" x14ac:dyDescent="0.25">
      <c r="B22" s="51" t="s">
        <v>87</v>
      </c>
      <c r="C22" s="21"/>
      <c r="D22" s="22"/>
    </row>
    <row r="23" spans="1:14" x14ac:dyDescent="0.25">
      <c r="B23" s="24" t="s">
        <v>125</v>
      </c>
      <c r="C23" s="25"/>
      <c r="D23" s="26"/>
    </row>
    <row r="24" spans="1:14" x14ac:dyDescent="0.25">
      <c r="B24" s="65" t="s">
        <v>106</v>
      </c>
      <c r="C24" s="65" t="s">
        <v>123</v>
      </c>
      <c r="G24" s="5" t="s">
        <v>124</v>
      </c>
      <c r="N24" t="s">
        <v>109</v>
      </c>
    </row>
    <row r="25" spans="1:14" x14ac:dyDescent="0.25">
      <c r="B25" s="3" t="s">
        <v>107</v>
      </c>
      <c r="C25" s="64"/>
      <c r="E25" t="s">
        <v>88</v>
      </c>
      <c r="N25" t="s">
        <v>110</v>
      </c>
    </row>
    <row r="26" spans="1:14" x14ac:dyDescent="0.25">
      <c r="B26" s="3" t="s">
        <v>108</v>
      </c>
      <c r="C26" s="64"/>
      <c r="G26" s="1" t="s">
        <v>103</v>
      </c>
      <c r="H26" s="1" t="s">
        <v>104</v>
      </c>
      <c r="I26" s="1" t="s">
        <v>105</v>
      </c>
      <c r="N26" t="s">
        <v>111</v>
      </c>
    </row>
    <row r="27" spans="1:14" x14ac:dyDescent="0.25">
      <c r="B27" s="3" t="s">
        <v>109</v>
      </c>
      <c r="C27" s="64"/>
      <c r="G27" s="63">
        <v>41543</v>
      </c>
      <c r="H27" s="3" t="s">
        <v>110</v>
      </c>
      <c r="I27" s="3">
        <v>137</v>
      </c>
      <c r="N27" t="s">
        <v>112</v>
      </c>
    </row>
    <row r="28" spans="1:14" x14ac:dyDescent="0.25">
      <c r="B28" s="3" t="s">
        <v>110</v>
      </c>
      <c r="C28" s="64"/>
      <c r="G28" s="63">
        <v>41544</v>
      </c>
      <c r="H28" s="3" t="s">
        <v>117</v>
      </c>
      <c r="I28" s="3">
        <v>39</v>
      </c>
      <c r="N28" t="s">
        <v>113</v>
      </c>
    </row>
    <row r="29" spans="1:14" x14ac:dyDescent="0.25">
      <c r="B29" s="3" t="s">
        <v>111</v>
      </c>
      <c r="C29" s="64"/>
      <c r="G29" s="63">
        <v>41548</v>
      </c>
      <c r="H29" s="3" t="s">
        <v>119</v>
      </c>
      <c r="I29" s="3">
        <v>110</v>
      </c>
      <c r="N29" t="s">
        <v>114</v>
      </c>
    </row>
    <row r="30" spans="1:14" x14ac:dyDescent="0.25">
      <c r="B30" s="3" t="s">
        <v>112</v>
      </c>
      <c r="C30" s="64"/>
      <c r="G30" s="63">
        <v>41548</v>
      </c>
      <c r="H30" s="3" t="s">
        <v>116</v>
      </c>
      <c r="I30" s="3">
        <v>107</v>
      </c>
      <c r="N30" t="s">
        <v>115</v>
      </c>
    </row>
    <row r="31" spans="1:14" x14ac:dyDescent="0.25">
      <c r="B31" s="3" t="s">
        <v>113</v>
      </c>
      <c r="C31" s="64"/>
      <c r="G31" s="63">
        <v>41547</v>
      </c>
      <c r="H31" s="3" t="s">
        <v>122</v>
      </c>
      <c r="I31" s="3">
        <v>168</v>
      </c>
      <c r="N31" t="s">
        <v>116</v>
      </c>
    </row>
    <row r="32" spans="1:14" x14ac:dyDescent="0.25">
      <c r="B32" s="3" t="s">
        <v>114</v>
      </c>
      <c r="C32" s="64"/>
      <c r="G32" s="63">
        <v>41543</v>
      </c>
      <c r="H32" s="3" t="s">
        <v>117</v>
      </c>
      <c r="I32" s="3">
        <v>164</v>
      </c>
      <c r="N32" t="s">
        <v>117</v>
      </c>
    </row>
    <row r="33" spans="1:14" x14ac:dyDescent="0.25">
      <c r="B33" s="3" t="s">
        <v>115</v>
      </c>
      <c r="C33" s="64"/>
      <c r="G33" s="63">
        <v>41548</v>
      </c>
      <c r="H33" s="3" t="s">
        <v>115</v>
      </c>
      <c r="I33" s="3">
        <v>59</v>
      </c>
      <c r="N33" t="s">
        <v>118</v>
      </c>
    </row>
    <row r="34" spans="1:14" x14ac:dyDescent="0.25">
      <c r="B34" s="3" t="s">
        <v>116</v>
      </c>
      <c r="C34" s="64"/>
      <c r="G34" s="63">
        <v>41547</v>
      </c>
      <c r="H34" s="3" t="s">
        <v>110</v>
      </c>
      <c r="I34" s="3">
        <v>81</v>
      </c>
      <c r="N34" t="s">
        <v>119</v>
      </c>
    </row>
    <row r="35" spans="1:14" x14ac:dyDescent="0.25">
      <c r="B35" s="3" t="s">
        <v>117</v>
      </c>
      <c r="C35" s="64"/>
      <c r="G35" s="63">
        <v>41543</v>
      </c>
      <c r="H35" s="3" t="s">
        <v>115</v>
      </c>
      <c r="I35" s="3">
        <v>168</v>
      </c>
      <c r="N35" t="s">
        <v>120</v>
      </c>
    </row>
    <row r="36" spans="1:14" x14ac:dyDescent="0.25">
      <c r="B36" s="3" t="s">
        <v>118</v>
      </c>
      <c r="C36" s="64"/>
      <c r="G36" s="63">
        <v>41546</v>
      </c>
      <c r="H36" s="3" t="s">
        <v>121</v>
      </c>
      <c r="I36" s="3">
        <v>37</v>
      </c>
      <c r="N36" t="s">
        <v>121</v>
      </c>
    </row>
    <row r="37" spans="1:14" x14ac:dyDescent="0.25">
      <c r="B37" s="3" t="s">
        <v>119</v>
      </c>
      <c r="C37" s="64"/>
      <c r="G37" s="63">
        <v>41544</v>
      </c>
      <c r="H37" s="3" t="s">
        <v>111</v>
      </c>
      <c r="I37" s="3">
        <v>67</v>
      </c>
      <c r="N37" t="s">
        <v>122</v>
      </c>
    </row>
    <row r="38" spans="1:14" x14ac:dyDescent="0.25">
      <c r="B38" s="3" t="s">
        <v>120</v>
      </c>
      <c r="C38" s="64"/>
      <c r="G38" s="63">
        <v>41546</v>
      </c>
      <c r="H38" s="3" t="s">
        <v>117</v>
      </c>
      <c r="I38" s="3">
        <v>55</v>
      </c>
    </row>
    <row r="39" spans="1:14" x14ac:dyDescent="0.25">
      <c r="B39" s="3" t="s">
        <v>121</v>
      </c>
      <c r="C39" s="64"/>
      <c r="G39" s="63">
        <v>41546</v>
      </c>
      <c r="H39" s="3" t="s">
        <v>121</v>
      </c>
      <c r="I39" s="3">
        <v>58</v>
      </c>
    </row>
    <row r="40" spans="1:14" x14ac:dyDescent="0.25">
      <c r="B40" s="3" t="s">
        <v>122</v>
      </c>
      <c r="C40" s="64"/>
      <c r="G40" s="63">
        <v>41544</v>
      </c>
      <c r="H40" s="3" t="s">
        <v>107</v>
      </c>
      <c r="I40" s="3">
        <v>16</v>
      </c>
    </row>
    <row r="41" spans="1:14" x14ac:dyDescent="0.25">
      <c r="G41" s="63">
        <v>41545</v>
      </c>
      <c r="H41" s="3" t="s">
        <v>114</v>
      </c>
      <c r="I41" s="3">
        <v>127</v>
      </c>
    </row>
    <row r="42" spans="1:14" x14ac:dyDescent="0.25">
      <c r="A42" s="5" t="s">
        <v>126</v>
      </c>
      <c r="B42" s="49" t="s">
        <v>85</v>
      </c>
      <c r="C42" s="17"/>
      <c r="D42" s="17"/>
      <c r="E42" s="18"/>
      <c r="G42" s="63">
        <v>41543</v>
      </c>
      <c r="H42" s="3" t="s">
        <v>108</v>
      </c>
      <c r="I42" s="3">
        <v>167</v>
      </c>
    </row>
    <row r="43" spans="1:14" x14ac:dyDescent="0.25">
      <c r="B43" s="41" t="s">
        <v>127</v>
      </c>
      <c r="C43" s="21"/>
      <c r="D43" s="21"/>
      <c r="E43" s="22"/>
      <c r="G43" s="63">
        <v>41544</v>
      </c>
      <c r="H43" s="3" t="s">
        <v>111</v>
      </c>
      <c r="I43" s="3">
        <v>113</v>
      </c>
    </row>
    <row r="44" spans="1:14" x14ac:dyDescent="0.25">
      <c r="B44" s="51" t="s">
        <v>87</v>
      </c>
      <c r="C44" s="21"/>
      <c r="D44" s="21"/>
      <c r="E44" s="22"/>
      <c r="G44" s="63">
        <v>41544</v>
      </c>
      <c r="H44" s="3" t="s">
        <v>122</v>
      </c>
      <c r="I44" s="3">
        <v>132</v>
      </c>
    </row>
    <row r="45" spans="1:14" x14ac:dyDescent="0.25">
      <c r="B45" s="24" t="s">
        <v>148</v>
      </c>
      <c r="C45" s="25"/>
      <c r="D45" s="25"/>
      <c r="E45" s="26"/>
      <c r="G45" s="63">
        <v>41543</v>
      </c>
      <c r="H45" s="3" t="s">
        <v>114</v>
      </c>
      <c r="I45" s="3">
        <v>135</v>
      </c>
    </row>
    <row r="46" spans="1:14" x14ac:dyDescent="0.25">
      <c r="B46" s="65" t="s">
        <v>129</v>
      </c>
      <c r="C46" s="65" t="s">
        <v>643</v>
      </c>
      <c r="G46" s="63">
        <v>41547</v>
      </c>
      <c r="H46" s="3" t="s">
        <v>113</v>
      </c>
      <c r="I46" s="3">
        <v>97</v>
      </c>
    </row>
    <row r="47" spans="1:14" x14ac:dyDescent="0.25">
      <c r="B47" s="3" t="s">
        <v>153</v>
      </c>
      <c r="C47" s="64"/>
      <c r="E47" t="s">
        <v>135</v>
      </c>
      <c r="G47" s="63">
        <v>41546</v>
      </c>
      <c r="H47" s="3" t="s">
        <v>117</v>
      </c>
      <c r="I47" s="3">
        <v>88</v>
      </c>
    </row>
    <row r="48" spans="1:14" x14ac:dyDescent="0.25">
      <c r="B48" s="3" t="s">
        <v>154</v>
      </c>
      <c r="C48" s="64"/>
      <c r="G48" s="63">
        <v>41543</v>
      </c>
      <c r="H48" s="3" t="s">
        <v>120</v>
      </c>
      <c r="I48" s="3">
        <v>166</v>
      </c>
    </row>
    <row r="49" spans="1:15" x14ac:dyDescent="0.25">
      <c r="B49" s="3" t="s">
        <v>155</v>
      </c>
      <c r="C49" s="64"/>
      <c r="G49" s="63">
        <v>41545</v>
      </c>
      <c r="H49" s="3" t="s">
        <v>116</v>
      </c>
      <c r="I49" s="3">
        <v>76</v>
      </c>
    </row>
    <row r="50" spans="1:15" x14ac:dyDescent="0.25">
      <c r="B50" s="3" t="s">
        <v>156</v>
      </c>
      <c r="C50" s="64"/>
      <c r="G50" s="63">
        <v>41543</v>
      </c>
      <c r="H50" s="3" t="s">
        <v>117</v>
      </c>
      <c r="I50" s="3">
        <v>156</v>
      </c>
      <c r="O50" t="s">
        <v>130</v>
      </c>
    </row>
    <row r="51" spans="1:15" x14ac:dyDescent="0.25">
      <c r="B51" s="3" t="s">
        <v>157</v>
      </c>
      <c r="C51" s="64"/>
      <c r="G51" s="63">
        <v>41546</v>
      </c>
      <c r="H51" s="3" t="s">
        <v>107</v>
      </c>
      <c r="I51" s="3">
        <v>156</v>
      </c>
      <c r="O51" t="str">
        <f ca="1">RANDBETWEEN(100,999)&amp;"-"&amp;"-"&amp;CHAR(RANDBETWEEN(65,65+24))&amp;CHAR(RANDBETWEEN(65,65+24))&amp;CHAR(RANDBETWEEN(65,65+24))&amp;"/"&amp;INDEX({"WA","CA","OR"},RANDBETWEEN(1,3))</f>
        <v>844--BLI/WA</v>
      </c>
    </row>
    <row r="52" spans="1:15" x14ac:dyDescent="0.25">
      <c r="B52" s="3" t="s">
        <v>158</v>
      </c>
      <c r="C52" s="64"/>
      <c r="G52" s="63">
        <v>41544</v>
      </c>
      <c r="H52" s="3" t="s">
        <v>117</v>
      </c>
      <c r="I52" s="3">
        <v>126</v>
      </c>
    </row>
    <row r="53" spans="1:15" x14ac:dyDescent="0.25">
      <c r="G53" s="63">
        <v>41548</v>
      </c>
      <c r="H53" s="3" t="s">
        <v>117</v>
      </c>
      <c r="I53" s="3">
        <v>139</v>
      </c>
    </row>
    <row r="54" spans="1:15" x14ac:dyDescent="0.25">
      <c r="A54" s="5" t="s">
        <v>134</v>
      </c>
      <c r="B54" s="49" t="s">
        <v>85</v>
      </c>
      <c r="C54" s="17"/>
      <c r="D54" s="17"/>
      <c r="E54" s="18"/>
      <c r="G54" s="63">
        <v>41546</v>
      </c>
      <c r="H54" s="3" t="s">
        <v>121</v>
      </c>
      <c r="I54" s="3">
        <v>50</v>
      </c>
    </row>
    <row r="55" spans="1:15" x14ac:dyDescent="0.25">
      <c r="B55" s="41" t="s">
        <v>127</v>
      </c>
      <c r="C55" s="21"/>
      <c r="D55" s="21"/>
      <c r="E55" s="22"/>
      <c r="G55" s="63">
        <v>41548</v>
      </c>
      <c r="H55" s="3" t="s">
        <v>108</v>
      </c>
      <c r="I55" s="3">
        <v>140</v>
      </c>
    </row>
    <row r="56" spans="1:15" x14ac:dyDescent="0.25">
      <c r="B56" s="51" t="s">
        <v>87</v>
      </c>
      <c r="C56" s="21"/>
      <c r="D56" s="21"/>
      <c r="E56" s="22"/>
      <c r="G56" s="63">
        <v>41544</v>
      </c>
      <c r="H56" s="3" t="s">
        <v>116</v>
      </c>
      <c r="I56" s="3">
        <v>35</v>
      </c>
    </row>
    <row r="57" spans="1:15" x14ac:dyDescent="0.25">
      <c r="B57" s="24" t="s">
        <v>168</v>
      </c>
      <c r="C57" s="25"/>
      <c r="D57" s="25"/>
      <c r="E57" s="26"/>
      <c r="G57" s="63">
        <v>41544</v>
      </c>
      <c r="H57" s="3" t="s">
        <v>110</v>
      </c>
      <c r="I57" s="3">
        <v>26</v>
      </c>
    </row>
    <row r="58" spans="1:15" x14ac:dyDescent="0.25">
      <c r="B58" s="65" t="s">
        <v>159</v>
      </c>
      <c r="C58" s="65" t="s">
        <v>643</v>
      </c>
      <c r="D58" s="65" t="s">
        <v>161</v>
      </c>
      <c r="G58" s="63">
        <v>41547</v>
      </c>
      <c r="H58" s="3" t="s">
        <v>112</v>
      </c>
      <c r="I58" s="3">
        <v>152</v>
      </c>
    </row>
    <row r="59" spans="1:15" x14ac:dyDescent="0.25">
      <c r="B59" s="3" t="s">
        <v>162</v>
      </c>
      <c r="C59" s="3" t="s">
        <v>131</v>
      </c>
      <c r="D59" s="64"/>
      <c r="E59" t="s">
        <v>135</v>
      </c>
      <c r="G59" s="63">
        <v>41544</v>
      </c>
      <c r="H59" s="3" t="s">
        <v>108</v>
      </c>
      <c r="I59" s="3">
        <v>26</v>
      </c>
    </row>
    <row r="60" spans="1:15" x14ac:dyDescent="0.25">
      <c r="B60" s="3" t="s">
        <v>163</v>
      </c>
      <c r="C60" s="3" t="s">
        <v>160</v>
      </c>
      <c r="D60" s="64"/>
      <c r="G60" s="63">
        <v>41547</v>
      </c>
      <c r="H60" s="3" t="s">
        <v>113</v>
      </c>
      <c r="I60" s="3">
        <v>15</v>
      </c>
    </row>
    <row r="61" spans="1:15" x14ac:dyDescent="0.25">
      <c r="B61" s="3" t="s">
        <v>164</v>
      </c>
      <c r="C61" s="3" t="s">
        <v>138</v>
      </c>
      <c r="D61" s="64"/>
      <c r="G61" s="63">
        <v>41545</v>
      </c>
      <c r="H61" s="3" t="s">
        <v>112</v>
      </c>
      <c r="I61" s="3">
        <v>163</v>
      </c>
    </row>
    <row r="62" spans="1:15" x14ac:dyDescent="0.25">
      <c r="B62" s="3" t="s">
        <v>165</v>
      </c>
      <c r="C62" s="3" t="s">
        <v>160</v>
      </c>
      <c r="D62" s="64"/>
      <c r="G62" s="63">
        <v>41547</v>
      </c>
      <c r="H62" s="3" t="s">
        <v>115</v>
      </c>
      <c r="I62" s="3">
        <v>98</v>
      </c>
    </row>
    <row r="63" spans="1:15" x14ac:dyDescent="0.25">
      <c r="B63" s="3" t="s">
        <v>166</v>
      </c>
      <c r="C63" s="3" t="s">
        <v>131</v>
      </c>
      <c r="D63" s="64"/>
      <c r="G63" s="63">
        <v>41548</v>
      </c>
      <c r="H63" s="3" t="s">
        <v>117</v>
      </c>
      <c r="I63" s="3">
        <v>107</v>
      </c>
    </row>
    <row r="64" spans="1:15" x14ac:dyDescent="0.25">
      <c r="B64" s="3" t="s">
        <v>167</v>
      </c>
      <c r="C64" s="3" t="s">
        <v>138</v>
      </c>
      <c r="D64" s="64"/>
      <c r="G64" s="63">
        <v>41545</v>
      </c>
      <c r="H64" s="3" t="s">
        <v>109</v>
      </c>
      <c r="I64" s="3">
        <v>24</v>
      </c>
    </row>
    <row r="65" spans="1:9" x14ac:dyDescent="0.25">
      <c r="G65" s="63">
        <v>41546</v>
      </c>
      <c r="H65" s="3" t="s">
        <v>119</v>
      </c>
      <c r="I65" s="3">
        <v>141</v>
      </c>
    </row>
    <row r="66" spans="1:9" x14ac:dyDescent="0.25">
      <c r="A66" s="5" t="s">
        <v>147</v>
      </c>
      <c r="B66" s="49" t="s">
        <v>85</v>
      </c>
      <c r="C66" s="17"/>
      <c r="D66" s="17"/>
      <c r="E66" s="18"/>
      <c r="G66" s="63">
        <v>41547</v>
      </c>
      <c r="H66" s="3" t="s">
        <v>109</v>
      </c>
      <c r="I66" s="3">
        <v>66</v>
      </c>
    </row>
    <row r="67" spans="1:9" x14ac:dyDescent="0.25">
      <c r="B67" s="41" t="s">
        <v>133</v>
      </c>
      <c r="C67" s="21"/>
      <c r="D67" s="21"/>
      <c r="E67" s="22"/>
      <c r="G67" s="63">
        <v>41544</v>
      </c>
      <c r="H67" s="3" t="s">
        <v>113</v>
      </c>
      <c r="I67" s="3">
        <v>107</v>
      </c>
    </row>
    <row r="68" spans="1:9" x14ac:dyDescent="0.25">
      <c r="B68" s="51" t="s">
        <v>87</v>
      </c>
      <c r="C68" s="21"/>
      <c r="D68" s="21"/>
      <c r="E68" s="22"/>
      <c r="G68" s="63">
        <v>41548</v>
      </c>
      <c r="H68" s="3" t="s">
        <v>121</v>
      </c>
      <c r="I68" s="3">
        <v>135</v>
      </c>
    </row>
    <row r="69" spans="1:9" x14ac:dyDescent="0.25">
      <c r="B69" s="24" t="s">
        <v>149</v>
      </c>
      <c r="C69" s="25"/>
      <c r="D69" s="25"/>
      <c r="E69" s="26"/>
      <c r="G69" s="63">
        <v>41543</v>
      </c>
      <c r="H69" s="3" t="s">
        <v>116</v>
      </c>
      <c r="I69" s="3">
        <v>155</v>
      </c>
    </row>
    <row r="70" spans="1:9" x14ac:dyDescent="0.25">
      <c r="A70" s="5" t="s">
        <v>152</v>
      </c>
      <c r="B70" s="39" t="s">
        <v>151</v>
      </c>
      <c r="C70" s="17"/>
      <c r="D70" s="17"/>
      <c r="E70" s="18"/>
      <c r="G70" s="63">
        <v>41543</v>
      </c>
      <c r="H70" s="3" t="s">
        <v>113</v>
      </c>
      <c r="I70" s="3">
        <v>108</v>
      </c>
    </row>
    <row r="71" spans="1:9" x14ac:dyDescent="0.25">
      <c r="B71" s="24" t="s">
        <v>150</v>
      </c>
      <c r="C71" s="25"/>
      <c r="D71" s="25"/>
      <c r="E71" s="26"/>
      <c r="G71" s="63">
        <v>41545</v>
      </c>
      <c r="H71" s="3" t="s">
        <v>119</v>
      </c>
      <c r="I71" s="3">
        <v>97</v>
      </c>
    </row>
    <row r="72" spans="1:9" x14ac:dyDescent="0.25">
      <c r="B72" s="1" t="s">
        <v>136</v>
      </c>
      <c r="C72" s="1" t="s">
        <v>145</v>
      </c>
      <c r="D72" s="1" t="s">
        <v>137</v>
      </c>
      <c r="E72" s="1" t="s">
        <v>146</v>
      </c>
      <c r="G72" s="63">
        <v>41548</v>
      </c>
      <c r="H72" s="3" t="s">
        <v>109</v>
      </c>
      <c r="I72" s="3">
        <v>127</v>
      </c>
    </row>
    <row r="73" spans="1:9" x14ac:dyDescent="0.25">
      <c r="B73" s="3" t="s">
        <v>139</v>
      </c>
      <c r="C73" s="3">
        <v>4</v>
      </c>
      <c r="D73" s="64"/>
      <c r="E73" s="64"/>
      <c r="G73" s="63">
        <v>41548</v>
      </c>
      <c r="H73" s="3" t="s">
        <v>119</v>
      </c>
      <c r="I73" s="3">
        <v>150</v>
      </c>
    </row>
    <row r="74" spans="1:9" x14ac:dyDescent="0.25">
      <c r="B74" s="3" t="s">
        <v>140</v>
      </c>
      <c r="C74" s="3">
        <v>84</v>
      </c>
      <c r="D74" s="64"/>
      <c r="E74" s="64"/>
      <c r="G74" s="63">
        <v>41543</v>
      </c>
      <c r="H74" s="3" t="s">
        <v>114</v>
      </c>
      <c r="I74" s="3">
        <v>84</v>
      </c>
    </row>
    <row r="75" spans="1:9" x14ac:dyDescent="0.25">
      <c r="B75" s="3" t="s">
        <v>141</v>
      </c>
      <c r="C75" s="3">
        <v>106</v>
      </c>
      <c r="D75" s="64"/>
      <c r="E75" s="64"/>
      <c r="G75" s="63">
        <v>41548</v>
      </c>
      <c r="H75" s="3" t="s">
        <v>113</v>
      </c>
      <c r="I75" s="3">
        <v>33</v>
      </c>
    </row>
    <row r="76" spans="1:9" x14ac:dyDescent="0.25">
      <c r="B76" s="3" t="s">
        <v>142</v>
      </c>
      <c r="C76" s="3">
        <v>28</v>
      </c>
      <c r="D76" s="64"/>
      <c r="E76" s="64"/>
      <c r="G76" s="63">
        <v>41547</v>
      </c>
      <c r="H76" s="3" t="s">
        <v>115</v>
      </c>
      <c r="I76" s="3">
        <v>125</v>
      </c>
    </row>
    <row r="77" spans="1:9" x14ac:dyDescent="0.25">
      <c r="B77" s="3" t="s">
        <v>143</v>
      </c>
      <c r="C77" s="3">
        <v>34</v>
      </c>
      <c r="D77" s="64"/>
      <c r="E77" s="64"/>
      <c r="G77" s="63">
        <v>41547</v>
      </c>
      <c r="H77" s="3" t="s">
        <v>108</v>
      </c>
      <c r="I77" s="3">
        <v>110</v>
      </c>
    </row>
    <row r="78" spans="1:9" x14ac:dyDescent="0.25">
      <c r="B78" s="3" t="s">
        <v>144</v>
      </c>
      <c r="C78" s="3">
        <v>89</v>
      </c>
      <c r="D78" s="64"/>
      <c r="E78" s="64"/>
      <c r="G78" s="63">
        <v>41545</v>
      </c>
      <c r="H78" s="3" t="s">
        <v>122</v>
      </c>
      <c r="I78" s="3">
        <v>82</v>
      </c>
    </row>
    <row r="79" spans="1:9" x14ac:dyDescent="0.25">
      <c r="G79" s="63">
        <v>41546</v>
      </c>
      <c r="H79" s="3" t="s">
        <v>109</v>
      </c>
      <c r="I79" s="3">
        <v>154</v>
      </c>
    </row>
    <row r="80" spans="1:9" x14ac:dyDescent="0.25">
      <c r="D80" t="s">
        <v>640</v>
      </c>
      <c r="E80" t="s">
        <v>135</v>
      </c>
      <c r="G80" s="63">
        <v>41547</v>
      </c>
      <c r="H80" s="3" t="s">
        <v>121</v>
      </c>
      <c r="I80" s="3">
        <v>37</v>
      </c>
    </row>
    <row r="81" spans="1:9" x14ac:dyDescent="0.25">
      <c r="D81" t="s">
        <v>644</v>
      </c>
      <c r="G81" s="63">
        <v>41548</v>
      </c>
      <c r="H81" s="3" t="s">
        <v>109</v>
      </c>
      <c r="I81" s="3">
        <v>54</v>
      </c>
    </row>
    <row r="82" spans="1:9" x14ac:dyDescent="0.25">
      <c r="B82" s="66" t="s">
        <v>641</v>
      </c>
      <c r="C82" s="3">
        <v>45</v>
      </c>
      <c r="G82" s="63">
        <v>41546</v>
      </c>
      <c r="H82" s="3" t="s">
        <v>107</v>
      </c>
      <c r="I82" s="3">
        <v>135</v>
      </c>
    </row>
    <row r="83" spans="1:9" x14ac:dyDescent="0.25">
      <c r="G83" s="63">
        <v>41543</v>
      </c>
      <c r="H83" s="3" t="s">
        <v>110</v>
      </c>
      <c r="I83" s="3">
        <v>135</v>
      </c>
    </row>
    <row r="84" spans="1:9" x14ac:dyDescent="0.25">
      <c r="A84" s="5" t="s">
        <v>169</v>
      </c>
      <c r="B84" s="49" t="s">
        <v>85</v>
      </c>
      <c r="C84" s="17"/>
      <c r="D84" s="17"/>
      <c r="E84" s="18"/>
      <c r="G84" s="63">
        <v>41543</v>
      </c>
      <c r="H84" s="3" t="s">
        <v>120</v>
      </c>
      <c r="I84" s="3">
        <v>151</v>
      </c>
    </row>
    <row r="85" spans="1:9" x14ac:dyDescent="0.25">
      <c r="B85" s="50" t="s">
        <v>170</v>
      </c>
      <c r="C85" s="21"/>
      <c r="D85" s="21"/>
      <c r="E85" s="22"/>
      <c r="G85" s="63">
        <v>41544</v>
      </c>
      <c r="H85" s="3" t="s">
        <v>119</v>
      </c>
      <c r="I85" s="3">
        <v>50</v>
      </c>
    </row>
    <row r="86" spans="1:9" x14ac:dyDescent="0.25">
      <c r="B86" s="51" t="s">
        <v>87</v>
      </c>
      <c r="C86" s="21"/>
      <c r="D86" s="21"/>
      <c r="E86" s="22"/>
      <c r="G86" s="63">
        <v>41545</v>
      </c>
      <c r="H86" s="3" t="s">
        <v>119</v>
      </c>
      <c r="I86" s="3">
        <v>132</v>
      </c>
    </row>
    <row r="87" spans="1:9" x14ac:dyDescent="0.25">
      <c r="B87" s="67" t="s">
        <v>186</v>
      </c>
      <c r="C87" s="32"/>
      <c r="D87" s="25"/>
      <c r="E87" s="26"/>
      <c r="G87" s="63">
        <v>41547</v>
      </c>
      <c r="H87" s="3" t="s">
        <v>107</v>
      </c>
      <c r="I87" s="3">
        <v>172</v>
      </c>
    </row>
    <row r="88" spans="1:9" x14ac:dyDescent="0.25">
      <c r="B88" s="68" t="s">
        <v>171</v>
      </c>
      <c r="C88" s="69"/>
      <c r="D88" s="69"/>
      <c r="E88" s="70"/>
      <c r="G88" s="63">
        <v>41544</v>
      </c>
      <c r="H88" s="3" t="s">
        <v>116</v>
      </c>
      <c r="I88" s="3">
        <v>148</v>
      </c>
    </row>
    <row r="89" spans="1:9" x14ac:dyDescent="0.25">
      <c r="G89" s="63">
        <v>41548</v>
      </c>
      <c r="H89" s="3" t="s">
        <v>112</v>
      </c>
      <c r="I89" s="3">
        <v>121</v>
      </c>
    </row>
    <row r="90" spans="1:9" x14ac:dyDescent="0.25">
      <c r="B90" s="5" t="s">
        <v>172</v>
      </c>
      <c r="G90" s="63">
        <v>41543</v>
      </c>
      <c r="H90" s="3" t="s">
        <v>112</v>
      </c>
      <c r="I90" s="3">
        <v>99</v>
      </c>
    </row>
    <row r="91" spans="1:9" x14ac:dyDescent="0.25">
      <c r="B91" s="1" t="s">
        <v>128</v>
      </c>
      <c r="C91" s="1" t="s">
        <v>173</v>
      </c>
      <c r="D91" s="1" t="s">
        <v>175</v>
      </c>
      <c r="G91" s="63">
        <v>41545</v>
      </c>
      <c r="H91" s="3" t="s">
        <v>122</v>
      </c>
      <c r="I91" s="3">
        <v>77</v>
      </c>
    </row>
    <row r="92" spans="1:9" x14ac:dyDescent="0.25">
      <c r="B92" s="3" t="s">
        <v>178</v>
      </c>
      <c r="C92" s="53"/>
      <c r="D92" s="53"/>
      <c r="E92" t="s">
        <v>135</v>
      </c>
      <c r="G92" s="63">
        <v>41547</v>
      </c>
      <c r="H92" s="3" t="s">
        <v>116</v>
      </c>
      <c r="I92" s="3">
        <v>150</v>
      </c>
    </row>
    <row r="93" spans="1:9" x14ac:dyDescent="0.25">
      <c r="G93" s="63">
        <v>41543</v>
      </c>
      <c r="H93" s="3" t="s">
        <v>120</v>
      </c>
      <c r="I93" s="3">
        <v>42</v>
      </c>
    </row>
    <row r="94" spans="1:9" x14ac:dyDescent="0.25">
      <c r="G94" s="63">
        <v>41544</v>
      </c>
      <c r="H94" s="3" t="s">
        <v>107</v>
      </c>
      <c r="I94" s="3">
        <v>72</v>
      </c>
    </row>
    <row r="95" spans="1:9" x14ac:dyDescent="0.25">
      <c r="G95" s="63">
        <v>41544</v>
      </c>
      <c r="H95" s="3" t="s">
        <v>122</v>
      </c>
      <c r="I95" s="3">
        <v>73</v>
      </c>
    </row>
    <row r="96" spans="1:9" x14ac:dyDescent="0.25">
      <c r="B96" s="1" t="s">
        <v>128</v>
      </c>
      <c r="C96" s="1" t="s">
        <v>174</v>
      </c>
      <c r="D96" s="1" t="s">
        <v>173</v>
      </c>
      <c r="E96" s="1" t="s">
        <v>175</v>
      </c>
      <c r="G96" s="63">
        <v>41544</v>
      </c>
      <c r="H96" s="3" t="s">
        <v>120</v>
      </c>
      <c r="I96" s="3">
        <v>45</v>
      </c>
    </row>
    <row r="97" spans="1:18" x14ac:dyDescent="0.25">
      <c r="B97" s="3" t="s">
        <v>244</v>
      </c>
      <c r="C97" s="71">
        <v>40306</v>
      </c>
      <c r="D97" s="3" t="s">
        <v>179</v>
      </c>
      <c r="E97" s="3" t="s">
        <v>645</v>
      </c>
      <c r="G97" s="63">
        <v>41545</v>
      </c>
      <c r="H97" s="3" t="s">
        <v>111</v>
      </c>
      <c r="I97" s="3">
        <v>94</v>
      </c>
    </row>
    <row r="98" spans="1:18" x14ac:dyDescent="0.25">
      <c r="B98" s="3" t="s">
        <v>176</v>
      </c>
      <c r="C98" s="71">
        <v>35965</v>
      </c>
      <c r="D98" s="3" t="s">
        <v>180</v>
      </c>
      <c r="E98" s="3" t="s">
        <v>183</v>
      </c>
      <c r="G98" s="63">
        <v>41544</v>
      </c>
      <c r="H98" s="3" t="s">
        <v>114</v>
      </c>
      <c r="I98" s="3">
        <v>110</v>
      </c>
    </row>
    <row r="99" spans="1:18" x14ac:dyDescent="0.25">
      <c r="B99" s="3" t="s">
        <v>177</v>
      </c>
      <c r="C99" s="71">
        <v>39288</v>
      </c>
      <c r="D99" s="3" t="s">
        <v>181</v>
      </c>
      <c r="E99" s="3" t="s">
        <v>184</v>
      </c>
      <c r="G99" s="63">
        <v>41546</v>
      </c>
      <c r="H99" s="3" t="s">
        <v>108</v>
      </c>
      <c r="I99" s="3">
        <v>54</v>
      </c>
    </row>
    <row r="100" spans="1:18" x14ac:dyDescent="0.25">
      <c r="B100" s="3" t="s">
        <v>178</v>
      </c>
      <c r="C100" s="71">
        <v>41090</v>
      </c>
      <c r="D100" s="3" t="s">
        <v>182</v>
      </c>
      <c r="E100" s="3" t="s">
        <v>185</v>
      </c>
      <c r="G100" s="63">
        <v>41545</v>
      </c>
      <c r="H100" s="3" t="s">
        <v>121</v>
      </c>
      <c r="I100" s="3">
        <v>135</v>
      </c>
    </row>
    <row r="101" spans="1:18" x14ac:dyDescent="0.25">
      <c r="G101" s="63">
        <v>41548</v>
      </c>
      <c r="H101" s="3" t="s">
        <v>121</v>
      </c>
      <c r="I101" s="3">
        <v>120</v>
      </c>
    </row>
    <row r="102" spans="1:18" x14ac:dyDescent="0.25">
      <c r="A102" s="5" t="s">
        <v>189</v>
      </c>
      <c r="B102" s="49" t="s">
        <v>85</v>
      </c>
      <c r="C102" s="17"/>
      <c r="D102" s="17"/>
      <c r="E102" s="18"/>
      <c r="G102" s="63">
        <v>41544</v>
      </c>
      <c r="H102" s="3" t="s">
        <v>116</v>
      </c>
      <c r="I102" s="3">
        <v>58</v>
      </c>
    </row>
    <row r="103" spans="1:18" x14ac:dyDescent="0.25">
      <c r="B103" s="50" t="s">
        <v>86</v>
      </c>
      <c r="C103" s="21"/>
      <c r="D103" s="21"/>
      <c r="E103" s="22"/>
      <c r="G103" s="63">
        <v>41543</v>
      </c>
      <c r="H103" s="3" t="s">
        <v>122</v>
      </c>
      <c r="I103" s="3">
        <v>46</v>
      </c>
    </row>
    <row r="104" spans="1:18" x14ac:dyDescent="0.25">
      <c r="B104" s="51" t="s">
        <v>87</v>
      </c>
      <c r="C104" s="21"/>
      <c r="D104" s="21"/>
      <c r="E104" s="22"/>
      <c r="G104" s="63">
        <v>41547</v>
      </c>
      <c r="H104" s="3" t="s">
        <v>107</v>
      </c>
      <c r="I104" s="3">
        <v>16</v>
      </c>
    </row>
    <row r="105" spans="1:18" x14ac:dyDescent="0.25">
      <c r="B105" s="67" t="s">
        <v>192</v>
      </c>
      <c r="C105" s="73"/>
      <c r="D105" s="25"/>
      <c r="E105" s="26"/>
      <c r="G105" s="63">
        <v>41547</v>
      </c>
      <c r="H105" s="3" t="s">
        <v>119</v>
      </c>
      <c r="I105" s="3">
        <v>138</v>
      </c>
    </row>
    <row r="106" spans="1:18" x14ac:dyDescent="0.25">
      <c r="B106" s="52" t="s">
        <v>193</v>
      </c>
      <c r="C106" s="74">
        <v>60000</v>
      </c>
      <c r="G106" s="63">
        <v>41548</v>
      </c>
      <c r="H106" s="3" t="s">
        <v>111</v>
      </c>
      <c r="I106" s="3">
        <v>25</v>
      </c>
    </row>
    <row r="107" spans="1:18" x14ac:dyDescent="0.25">
      <c r="B107" s="52" t="s">
        <v>194</v>
      </c>
      <c r="C107" s="74">
        <v>18360</v>
      </c>
      <c r="G107" s="63">
        <v>41543</v>
      </c>
      <c r="H107" s="3" t="s">
        <v>114</v>
      </c>
      <c r="I107" s="3">
        <v>140</v>
      </c>
    </row>
    <row r="108" spans="1:18" x14ac:dyDescent="0.25">
      <c r="B108" s="52" t="s">
        <v>195</v>
      </c>
      <c r="C108" s="74">
        <v>32088</v>
      </c>
      <c r="G108" s="63">
        <v>41545</v>
      </c>
      <c r="H108" s="3" t="s">
        <v>109</v>
      </c>
      <c r="I108" s="3">
        <v>11</v>
      </c>
    </row>
    <row r="109" spans="1:18" ht="15.75" thickBot="1" x14ac:dyDescent="0.3">
      <c r="B109" s="60" t="s">
        <v>196</v>
      </c>
      <c r="C109" s="75">
        <v>312</v>
      </c>
      <c r="G109" s="63">
        <v>41545</v>
      </c>
      <c r="H109" s="3" t="s">
        <v>116</v>
      </c>
      <c r="I109" s="3">
        <v>79</v>
      </c>
    </row>
    <row r="110" spans="1:18" ht="15.75" thickBot="1" x14ac:dyDescent="0.3">
      <c r="B110" s="76" t="s">
        <v>197</v>
      </c>
      <c r="C110" s="77"/>
      <c r="D110" s="202">
        <f>C106-C107-C108-C109</f>
        <v>9240</v>
      </c>
      <c r="E110" t="s">
        <v>88</v>
      </c>
      <c r="G110" s="63">
        <v>41543</v>
      </c>
      <c r="H110" s="3" t="s">
        <v>112</v>
      </c>
      <c r="I110" s="3">
        <v>145</v>
      </c>
    </row>
    <row r="111" spans="1:18" ht="15.75" thickTop="1" x14ac:dyDescent="0.25">
      <c r="G111" s="63">
        <v>41546</v>
      </c>
      <c r="H111" s="3" t="s">
        <v>117</v>
      </c>
      <c r="I111" s="3">
        <v>170</v>
      </c>
    </row>
    <row r="112" spans="1:18" x14ac:dyDescent="0.25">
      <c r="A112" s="5" t="s">
        <v>191</v>
      </c>
      <c r="B112" s="49" t="s">
        <v>85</v>
      </c>
      <c r="C112" s="17"/>
      <c r="D112" s="17"/>
      <c r="E112" s="18"/>
      <c r="G112" s="63">
        <v>41547</v>
      </c>
      <c r="H112" s="3" t="s">
        <v>109</v>
      </c>
      <c r="I112" s="3">
        <v>17</v>
      </c>
      <c r="K112" s="81" t="s">
        <v>209</v>
      </c>
      <c r="L112" s="82"/>
      <c r="M112" s="82"/>
      <c r="N112" s="82"/>
      <c r="O112" s="82"/>
      <c r="P112" s="82"/>
      <c r="Q112" s="82"/>
      <c r="R112" s="83"/>
    </row>
    <row r="113" spans="2:18" x14ac:dyDescent="0.25">
      <c r="B113" s="50" t="s">
        <v>204</v>
      </c>
      <c r="C113" s="21"/>
      <c r="D113" s="21"/>
      <c r="E113" s="22"/>
      <c r="G113" s="63">
        <v>41544</v>
      </c>
      <c r="H113" s="3" t="s">
        <v>107</v>
      </c>
      <c r="I113" s="3">
        <v>136</v>
      </c>
      <c r="K113" s="84" t="s">
        <v>210</v>
      </c>
      <c r="L113" s="85"/>
      <c r="M113" s="85"/>
      <c r="N113" s="85"/>
      <c r="O113" s="85"/>
      <c r="P113" s="85"/>
      <c r="Q113" s="85"/>
      <c r="R113" s="86"/>
    </row>
    <row r="114" spans="2:18" x14ac:dyDescent="0.25">
      <c r="B114" s="41" t="s">
        <v>205</v>
      </c>
      <c r="C114" s="21"/>
      <c r="D114" s="21"/>
      <c r="E114" s="22"/>
      <c r="G114" s="63">
        <v>41547</v>
      </c>
      <c r="H114" s="3" t="s">
        <v>120</v>
      </c>
      <c r="I114" s="3">
        <v>172</v>
      </c>
      <c r="K114" s="84" t="s">
        <v>211</v>
      </c>
      <c r="L114" s="85"/>
      <c r="M114" s="85"/>
      <c r="N114" s="85"/>
      <c r="O114" s="85"/>
      <c r="P114" s="85"/>
      <c r="Q114" s="85"/>
      <c r="R114" s="86"/>
    </row>
    <row r="115" spans="2:18" x14ac:dyDescent="0.25">
      <c r="B115" s="80" t="s">
        <v>206</v>
      </c>
      <c r="C115" s="21"/>
      <c r="D115" s="21"/>
      <c r="E115" s="22"/>
      <c r="G115" s="63">
        <v>41544</v>
      </c>
      <c r="H115" s="3" t="s">
        <v>119</v>
      </c>
      <c r="I115" s="3">
        <v>107</v>
      </c>
      <c r="K115" s="84" t="s">
        <v>212</v>
      </c>
      <c r="L115" s="85"/>
      <c r="M115" s="85"/>
      <c r="N115" s="85"/>
      <c r="O115" s="85"/>
      <c r="P115" s="85"/>
      <c r="Q115" s="85"/>
      <c r="R115" s="86"/>
    </row>
    <row r="116" spans="2:18" x14ac:dyDescent="0.25">
      <c r="B116" s="41" t="s">
        <v>207</v>
      </c>
      <c r="C116" s="21"/>
      <c r="D116" s="21"/>
      <c r="E116" s="22"/>
      <c r="G116" s="63">
        <v>41547</v>
      </c>
      <c r="H116" s="3" t="s">
        <v>115</v>
      </c>
      <c r="I116" s="3">
        <v>107</v>
      </c>
      <c r="K116" s="84" t="s">
        <v>213</v>
      </c>
      <c r="L116" s="85"/>
      <c r="M116" s="85"/>
      <c r="N116" s="85"/>
      <c r="O116" s="85"/>
      <c r="P116" s="85"/>
      <c r="Q116" s="85"/>
      <c r="R116" s="86"/>
    </row>
    <row r="117" spans="2:18" x14ac:dyDescent="0.25">
      <c r="B117" s="41" t="s">
        <v>208</v>
      </c>
      <c r="C117" s="21"/>
      <c r="D117" s="21"/>
      <c r="E117" s="22"/>
      <c r="G117" s="63">
        <v>41546</v>
      </c>
      <c r="H117" s="3" t="s">
        <v>119</v>
      </c>
      <c r="I117" s="3">
        <v>87</v>
      </c>
      <c r="K117" s="84" t="s">
        <v>214</v>
      </c>
      <c r="L117" s="85"/>
      <c r="M117" s="85"/>
      <c r="N117" s="85"/>
      <c r="O117" s="85"/>
      <c r="P117" s="85"/>
      <c r="Q117" s="85"/>
      <c r="R117" s="86"/>
    </row>
    <row r="118" spans="2:18" x14ac:dyDescent="0.25">
      <c r="B118" s="51" t="s">
        <v>87</v>
      </c>
      <c r="C118" s="21"/>
      <c r="D118" s="21"/>
      <c r="E118" s="22"/>
      <c r="G118" s="63">
        <v>41543</v>
      </c>
      <c r="H118" s="3" t="s">
        <v>113</v>
      </c>
      <c r="I118" s="3">
        <v>106</v>
      </c>
      <c r="K118" s="84" t="s">
        <v>215</v>
      </c>
      <c r="L118" s="85"/>
      <c r="M118" s="85"/>
      <c r="N118" s="85"/>
      <c r="O118" s="85"/>
      <c r="P118" s="85"/>
      <c r="Q118" s="85"/>
      <c r="R118" s="86"/>
    </row>
    <row r="119" spans="2:18" x14ac:dyDescent="0.25">
      <c r="B119" s="67" t="s">
        <v>198</v>
      </c>
      <c r="C119" s="32"/>
      <c r="D119" s="25"/>
      <c r="E119" s="26"/>
      <c r="G119" s="63">
        <v>41545</v>
      </c>
      <c r="H119" s="3" t="s">
        <v>109</v>
      </c>
      <c r="I119" s="3">
        <v>84</v>
      </c>
      <c r="K119" s="84" t="s">
        <v>216</v>
      </c>
      <c r="L119" s="85"/>
      <c r="M119" s="85"/>
      <c r="N119" s="85"/>
      <c r="O119" s="85"/>
      <c r="P119" s="85"/>
      <c r="Q119" s="85"/>
      <c r="R119" s="86"/>
    </row>
    <row r="120" spans="2:18" x14ac:dyDescent="0.25">
      <c r="B120" s="1" t="s">
        <v>190</v>
      </c>
      <c r="C120" s="53"/>
      <c r="E120" t="s">
        <v>88</v>
      </c>
      <c r="G120" s="63">
        <v>41545</v>
      </c>
      <c r="H120" s="3" t="s">
        <v>113</v>
      </c>
      <c r="I120" s="3">
        <v>11</v>
      </c>
      <c r="K120" s="87" t="s">
        <v>217</v>
      </c>
      <c r="L120" s="88"/>
      <c r="M120" s="88"/>
      <c r="N120" s="88"/>
      <c r="O120" s="88"/>
      <c r="P120" s="88"/>
      <c r="Q120" s="88"/>
      <c r="R120" s="89"/>
    </row>
    <row r="121" spans="2:18" x14ac:dyDescent="0.25">
      <c r="G121" s="63">
        <v>41544</v>
      </c>
      <c r="H121" s="3" t="s">
        <v>114</v>
      </c>
      <c r="I121" s="3">
        <v>98</v>
      </c>
    </row>
    <row r="122" spans="2:18" x14ac:dyDescent="0.25">
      <c r="B122" s="1" t="s">
        <v>103</v>
      </c>
      <c r="C122" s="1" t="s">
        <v>104</v>
      </c>
      <c r="D122" s="1" t="s">
        <v>105</v>
      </c>
      <c r="G122" s="63">
        <v>41544</v>
      </c>
      <c r="H122" s="3" t="s">
        <v>110</v>
      </c>
      <c r="I122" s="3">
        <v>135</v>
      </c>
    </row>
    <row r="123" spans="2:18" x14ac:dyDescent="0.25">
      <c r="B123" s="63">
        <v>41544</v>
      </c>
      <c r="C123" s="3" t="s">
        <v>117</v>
      </c>
      <c r="D123" s="3">
        <v>39</v>
      </c>
      <c r="G123" s="63">
        <v>41545</v>
      </c>
      <c r="H123" s="3" t="s">
        <v>115</v>
      </c>
      <c r="I123" s="3">
        <v>27</v>
      </c>
    </row>
    <row r="124" spans="2:18" x14ac:dyDescent="0.25">
      <c r="B124" s="63">
        <v>41543</v>
      </c>
      <c r="C124" s="3" t="s">
        <v>117</v>
      </c>
      <c r="D124" s="3">
        <v>164</v>
      </c>
      <c r="G124" s="63">
        <v>41546</v>
      </c>
      <c r="H124" s="3" t="s">
        <v>122</v>
      </c>
      <c r="I124" s="3">
        <v>170</v>
      </c>
    </row>
    <row r="125" spans="2:18" x14ac:dyDescent="0.25">
      <c r="B125" s="63">
        <v>41546</v>
      </c>
      <c r="C125" s="3" t="s">
        <v>117</v>
      </c>
      <c r="D125" s="3">
        <v>55</v>
      </c>
      <c r="G125" s="63">
        <v>41545</v>
      </c>
      <c r="H125" s="3" t="s">
        <v>110</v>
      </c>
      <c r="I125" s="3">
        <v>159</v>
      </c>
    </row>
    <row r="126" spans="2:18" x14ac:dyDescent="0.25">
      <c r="B126" s="63">
        <v>41546</v>
      </c>
      <c r="C126" s="3" t="s">
        <v>117</v>
      </c>
      <c r="D126" s="3">
        <v>88</v>
      </c>
      <c r="G126" s="63">
        <v>41547</v>
      </c>
      <c r="H126" s="3" t="s">
        <v>114</v>
      </c>
      <c r="I126" s="3">
        <v>11</v>
      </c>
    </row>
    <row r="127" spans="2:18" x14ac:dyDescent="0.25">
      <c r="B127" s="63">
        <v>41543</v>
      </c>
      <c r="C127" s="3" t="s">
        <v>117</v>
      </c>
      <c r="D127" s="3">
        <v>156</v>
      </c>
      <c r="G127" s="63">
        <v>41546</v>
      </c>
      <c r="H127" s="3" t="s">
        <v>119</v>
      </c>
      <c r="I127" s="3">
        <v>34</v>
      </c>
    </row>
    <row r="128" spans="2:18" x14ac:dyDescent="0.25">
      <c r="B128" s="63">
        <v>41544</v>
      </c>
      <c r="C128" s="3" t="s">
        <v>117</v>
      </c>
      <c r="D128" s="3">
        <v>126</v>
      </c>
      <c r="G128" s="63">
        <v>41546</v>
      </c>
      <c r="H128" s="3" t="s">
        <v>107</v>
      </c>
      <c r="I128" s="3">
        <v>126</v>
      </c>
    </row>
    <row r="129" spans="1:9" x14ac:dyDescent="0.25">
      <c r="B129" s="63">
        <v>41548</v>
      </c>
      <c r="C129" s="3" t="s">
        <v>117</v>
      </c>
      <c r="D129" s="3">
        <v>139</v>
      </c>
      <c r="G129" s="63">
        <v>41544</v>
      </c>
      <c r="H129" s="3" t="s">
        <v>113</v>
      </c>
      <c r="I129" s="3">
        <v>90</v>
      </c>
    </row>
    <row r="130" spans="1:9" x14ac:dyDescent="0.25">
      <c r="B130" s="63">
        <v>41548</v>
      </c>
      <c r="C130" s="3" t="s">
        <v>117</v>
      </c>
      <c r="D130" s="3">
        <v>107</v>
      </c>
      <c r="G130" s="63">
        <v>41545</v>
      </c>
      <c r="H130" s="3" t="s">
        <v>108</v>
      </c>
      <c r="I130" s="3">
        <v>117</v>
      </c>
    </row>
    <row r="131" spans="1:9" x14ac:dyDescent="0.25">
      <c r="B131" s="63">
        <v>41546</v>
      </c>
      <c r="C131" s="3" t="s">
        <v>117</v>
      </c>
      <c r="D131" s="3">
        <v>170</v>
      </c>
      <c r="G131" s="63">
        <v>41547</v>
      </c>
      <c r="H131" s="3" t="s">
        <v>114</v>
      </c>
      <c r="I131" s="3">
        <v>139</v>
      </c>
    </row>
    <row r="132" spans="1:9" x14ac:dyDescent="0.25">
      <c r="B132" s="63">
        <v>41543</v>
      </c>
      <c r="C132" s="3" t="s">
        <v>117</v>
      </c>
      <c r="D132" s="3">
        <v>129</v>
      </c>
      <c r="G132" s="63">
        <v>41547</v>
      </c>
      <c r="H132" s="3" t="s">
        <v>120</v>
      </c>
      <c r="I132" s="3">
        <v>70</v>
      </c>
    </row>
    <row r="133" spans="1:9" x14ac:dyDescent="0.25">
      <c r="B133" s="63">
        <v>41545</v>
      </c>
      <c r="C133" s="3" t="s">
        <v>117</v>
      </c>
      <c r="D133" s="3">
        <v>46</v>
      </c>
      <c r="G133" s="63">
        <v>41544</v>
      </c>
      <c r="H133" s="3" t="s">
        <v>113</v>
      </c>
      <c r="I133" s="3">
        <v>172</v>
      </c>
    </row>
    <row r="134" spans="1:9" x14ac:dyDescent="0.25">
      <c r="B134" s="63">
        <v>41546</v>
      </c>
      <c r="C134" s="3" t="s">
        <v>117</v>
      </c>
      <c r="D134" s="3">
        <v>61</v>
      </c>
      <c r="G134" s="63">
        <v>41548</v>
      </c>
      <c r="H134" s="3" t="s">
        <v>116</v>
      </c>
      <c r="I134" s="3">
        <v>132</v>
      </c>
    </row>
    <row r="135" spans="1:9" x14ac:dyDescent="0.25">
      <c r="B135" s="63">
        <v>41544</v>
      </c>
      <c r="C135" s="3" t="s">
        <v>117</v>
      </c>
      <c r="D135" s="3">
        <v>172</v>
      </c>
      <c r="G135" s="63">
        <v>41546</v>
      </c>
      <c r="H135" s="3" t="s">
        <v>115</v>
      </c>
      <c r="I135" s="3">
        <v>81</v>
      </c>
    </row>
    <row r="136" spans="1:9" x14ac:dyDescent="0.25">
      <c r="B136" s="63">
        <v>41548</v>
      </c>
      <c r="C136" s="3" t="s">
        <v>117</v>
      </c>
      <c r="D136" s="3">
        <v>161</v>
      </c>
      <c r="G136" s="63">
        <v>41543</v>
      </c>
      <c r="H136" s="3" t="s">
        <v>117</v>
      </c>
      <c r="I136" s="3">
        <v>129</v>
      </c>
    </row>
    <row r="137" spans="1:9" x14ac:dyDescent="0.25">
      <c r="G137" s="63">
        <v>41548</v>
      </c>
      <c r="H137" s="3" t="s">
        <v>111</v>
      </c>
      <c r="I137" s="3">
        <v>38</v>
      </c>
    </row>
    <row r="138" spans="1:9" x14ac:dyDescent="0.25">
      <c r="A138" s="5" t="s">
        <v>628</v>
      </c>
      <c r="B138" s="49" t="s">
        <v>85</v>
      </c>
      <c r="C138" s="17"/>
      <c r="D138" s="17"/>
      <c r="E138" s="18"/>
      <c r="G138" s="63">
        <v>41548</v>
      </c>
      <c r="H138" s="3" t="s">
        <v>108</v>
      </c>
      <c r="I138" s="3">
        <v>81</v>
      </c>
    </row>
    <row r="139" spans="1:9" x14ac:dyDescent="0.25">
      <c r="B139" s="50" t="s">
        <v>613</v>
      </c>
      <c r="C139" s="21"/>
      <c r="D139" s="21"/>
      <c r="E139" s="22"/>
      <c r="G139" s="63">
        <v>41543</v>
      </c>
      <c r="H139" s="3" t="s">
        <v>114</v>
      </c>
      <c r="I139" s="3">
        <v>72</v>
      </c>
    </row>
    <row r="140" spans="1:9" x14ac:dyDescent="0.25">
      <c r="B140" s="51" t="s">
        <v>87</v>
      </c>
      <c r="C140" s="21"/>
      <c r="D140" s="21"/>
      <c r="E140" s="22"/>
      <c r="G140" s="63">
        <v>41545</v>
      </c>
      <c r="H140" s="3" t="s">
        <v>108</v>
      </c>
      <c r="I140" s="3">
        <v>131</v>
      </c>
    </row>
    <row r="141" spans="1:9" x14ac:dyDescent="0.25">
      <c r="B141" s="67" t="s">
        <v>631</v>
      </c>
      <c r="C141" s="32"/>
      <c r="D141" s="25"/>
      <c r="E141" s="26"/>
      <c r="G141" s="63">
        <v>41547</v>
      </c>
      <c r="H141" s="3" t="s">
        <v>110</v>
      </c>
      <c r="I141" s="3">
        <v>61</v>
      </c>
    </row>
    <row r="142" spans="1:9" x14ac:dyDescent="0.25">
      <c r="E142" t="s">
        <v>88</v>
      </c>
      <c r="G142" s="63">
        <v>41546</v>
      </c>
      <c r="H142" s="3" t="s">
        <v>110</v>
      </c>
      <c r="I142" s="3">
        <v>17</v>
      </c>
    </row>
    <row r="143" spans="1:9" x14ac:dyDescent="0.25">
      <c r="B143" s="1" t="s">
        <v>243</v>
      </c>
      <c r="C143" s="1" t="s">
        <v>632</v>
      </c>
      <c r="D143" s="1" t="s">
        <v>633</v>
      </c>
      <c r="G143" s="63">
        <v>41545</v>
      </c>
      <c r="H143" s="3" t="s">
        <v>112</v>
      </c>
      <c r="I143" s="3">
        <v>168</v>
      </c>
    </row>
    <row r="144" spans="1:9" x14ac:dyDescent="0.25">
      <c r="B144" s="3" t="s">
        <v>634</v>
      </c>
      <c r="C144" s="3" t="s">
        <v>636</v>
      </c>
      <c r="D144" s="64"/>
      <c r="G144" s="63">
        <v>41544</v>
      </c>
      <c r="H144" s="3" t="s">
        <v>111</v>
      </c>
      <c r="I144" s="3">
        <v>135</v>
      </c>
    </row>
    <row r="145" spans="1:9" x14ac:dyDescent="0.25">
      <c r="G145" s="63">
        <v>41543</v>
      </c>
      <c r="H145" s="3" t="s">
        <v>116</v>
      </c>
      <c r="I145" s="3">
        <v>128</v>
      </c>
    </row>
    <row r="146" spans="1:9" x14ac:dyDescent="0.25">
      <c r="B146" s="1" t="s">
        <v>243</v>
      </c>
      <c r="C146" s="1" t="s">
        <v>638</v>
      </c>
      <c r="D146" s="1" t="s">
        <v>647</v>
      </c>
      <c r="G146" s="63">
        <v>41548</v>
      </c>
      <c r="H146" s="3" t="s">
        <v>111</v>
      </c>
      <c r="I146" s="3">
        <v>132</v>
      </c>
    </row>
    <row r="147" spans="1:9" x14ac:dyDescent="0.25">
      <c r="B147" s="3" t="s">
        <v>634</v>
      </c>
      <c r="C147" s="3" t="s">
        <v>636</v>
      </c>
      <c r="D147" s="3">
        <v>493</v>
      </c>
      <c r="G147" s="63">
        <v>41544</v>
      </c>
      <c r="H147" s="3" t="s">
        <v>116</v>
      </c>
      <c r="I147" s="3">
        <v>143</v>
      </c>
    </row>
    <row r="148" spans="1:9" x14ac:dyDescent="0.25">
      <c r="B148" s="3" t="s">
        <v>635</v>
      </c>
      <c r="C148" s="3" t="s">
        <v>637</v>
      </c>
      <c r="D148" s="3">
        <v>209</v>
      </c>
      <c r="G148" s="63">
        <v>41546</v>
      </c>
      <c r="H148" s="3" t="s">
        <v>107</v>
      </c>
      <c r="I148" s="3">
        <v>13</v>
      </c>
    </row>
    <row r="149" spans="1:9" x14ac:dyDescent="0.25">
      <c r="B149" s="3" t="s">
        <v>634</v>
      </c>
      <c r="C149" s="3" t="s">
        <v>639</v>
      </c>
      <c r="D149" s="3">
        <v>589</v>
      </c>
      <c r="G149" s="63">
        <v>41546</v>
      </c>
      <c r="H149" s="3" t="s">
        <v>108</v>
      </c>
      <c r="I149" s="3">
        <v>96</v>
      </c>
    </row>
    <row r="150" spans="1:9" x14ac:dyDescent="0.25">
      <c r="B150" s="3" t="s">
        <v>634</v>
      </c>
      <c r="C150" s="3" t="s">
        <v>636</v>
      </c>
      <c r="D150" s="3">
        <v>202</v>
      </c>
      <c r="G150" s="63">
        <v>41548</v>
      </c>
      <c r="H150" s="3" t="s">
        <v>122</v>
      </c>
      <c r="I150" s="3">
        <v>75</v>
      </c>
    </row>
    <row r="151" spans="1:9" x14ac:dyDescent="0.25">
      <c r="B151" s="3" t="s">
        <v>635</v>
      </c>
      <c r="C151" s="3" t="s">
        <v>636</v>
      </c>
      <c r="D151" s="3">
        <v>269</v>
      </c>
      <c r="G151" s="63">
        <v>41548</v>
      </c>
      <c r="H151" s="3" t="s">
        <v>119</v>
      </c>
      <c r="I151" s="3">
        <v>63</v>
      </c>
    </row>
    <row r="152" spans="1:9" x14ac:dyDescent="0.25">
      <c r="B152" s="3" t="s">
        <v>635</v>
      </c>
      <c r="C152" s="3" t="s">
        <v>639</v>
      </c>
      <c r="D152" s="3">
        <v>293</v>
      </c>
      <c r="G152" s="63">
        <v>41545</v>
      </c>
      <c r="H152" s="3" t="s">
        <v>109</v>
      </c>
      <c r="I152" s="3">
        <v>50</v>
      </c>
    </row>
    <row r="153" spans="1:9" x14ac:dyDescent="0.25">
      <c r="B153" s="3" t="s">
        <v>635</v>
      </c>
      <c r="C153" s="3" t="s">
        <v>639</v>
      </c>
      <c r="D153" s="3">
        <v>662</v>
      </c>
      <c r="G153" s="63">
        <v>41543</v>
      </c>
      <c r="H153" s="3" t="s">
        <v>120</v>
      </c>
      <c r="I153" s="3">
        <v>116</v>
      </c>
    </row>
    <row r="154" spans="1:9" x14ac:dyDescent="0.25">
      <c r="B154" s="3" t="s">
        <v>634</v>
      </c>
      <c r="C154" s="3" t="s">
        <v>637</v>
      </c>
      <c r="D154" s="3">
        <v>317</v>
      </c>
      <c r="G154" s="63">
        <v>41548</v>
      </c>
      <c r="H154" s="3" t="s">
        <v>112</v>
      </c>
      <c r="I154" s="3">
        <v>130</v>
      </c>
    </row>
    <row r="155" spans="1:9" x14ac:dyDescent="0.25">
      <c r="B155" s="3" t="s">
        <v>634</v>
      </c>
      <c r="C155" s="3" t="s">
        <v>637</v>
      </c>
      <c r="D155" s="3">
        <v>207</v>
      </c>
      <c r="G155" s="63">
        <v>41546</v>
      </c>
      <c r="H155" s="3" t="s">
        <v>122</v>
      </c>
      <c r="I155" s="3">
        <v>71</v>
      </c>
    </row>
    <row r="156" spans="1:9" x14ac:dyDescent="0.25">
      <c r="G156" s="63">
        <v>41546</v>
      </c>
      <c r="H156" s="3" t="s">
        <v>114</v>
      </c>
      <c r="I156" s="3">
        <v>159</v>
      </c>
    </row>
    <row r="157" spans="1:9" x14ac:dyDescent="0.25">
      <c r="G157" s="63">
        <v>41544</v>
      </c>
      <c r="H157" s="3" t="s">
        <v>115</v>
      </c>
      <c r="I157" s="3">
        <v>167</v>
      </c>
    </row>
    <row r="158" spans="1:9" x14ac:dyDescent="0.25">
      <c r="A158" s="5" t="s">
        <v>629</v>
      </c>
      <c r="B158" s="49" t="s">
        <v>85</v>
      </c>
      <c r="C158" s="17"/>
      <c r="D158" s="17"/>
      <c r="E158" s="18"/>
      <c r="G158" s="63">
        <v>41548</v>
      </c>
      <c r="H158" s="3" t="s">
        <v>111</v>
      </c>
      <c r="I158" s="3">
        <v>42</v>
      </c>
    </row>
    <row r="159" spans="1:9" x14ac:dyDescent="0.25">
      <c r="B159" s="50" t="s">
        <v>613</v>
      </c>
      <c r="C159" s="21"/>
      <c r="D159" s="21"/>
      <c r="E159" s="22"/>
      <c r="G159" s="63">
        <v>41547</v>
      </c>
      <c r="H159" s="3" t="s">
        <v>107</v>
      </c>
      <c r="I159" s="3">
        <v>99</v>
      </c>
    </row>
    <row r="160" spans="1:9" x14ac:dyDescent="0.25">
      <c r="B160" s="51" t="s">
        <v>87</v>
      </c>
      <c r="C160" s="21"/>
      <c r="D160" s="21"/>
      <c r="E160" s="22"/>
      <c r="G160" s="63">
        <v>41546</v>
      </c>
      <c r="H160" s="3" t="s">
        <v>109</v>
      </c>
      <c r="I160" s="3">
        <v>168</v>
      </c>
    </row>
    <row r="161" spans="2:9" x14ac:dyDescent="0.25">
      <c r="B161" s="67" t="s">
        <v>630</v>
      </c>
      <c r="C161" s="32"/>
      <c r="D161" s="25"/>
      <c r="E161" s="26"/>
      <c r="G161" s="63">
        <v>41545</v>
      </c>
      <c r="H161" s="3" t="s">
        <v>120</v>
      </c>
      <c r="I161" s="3">
        <v>153</v>
      </c>
    </row>
    <row r="162" spans="2:9" x14ac:dyDescent="0.25">
      <c r="E162" t="s">
        <v>88</v>
      </c>
      <c r="G162" s="63">
        <v>41545</v>
      </c>
      <c r="H162" s="3" t="s">
        <v>108</v>
      </c>
      <c r="I162" s="3">
        <v>116</v>
      </c>
    </row>
    <row r="163" spans="2:9" x14ac:dyDescent="0.25">
      <c r="B163" s="66" t="s">
        <v>616</v>
      </c>
      <c r="C163" s="66" t="s">
        <v>617</v>
      </c>
      <c r="D163" s="1" t="s">
        <v>615</v>
      </c>
      <c r="G163" s="63">
        <v>41544</v>
      </c>
      <c r="H163" s="3" t="s">
        <v>113</v>
      </c>
      <c r="I163" s="3">
        <v>11</v>
      </c>
    </row>
    <row r="164" spans="2:9" x14ac:dyDescent="0.25">
      <c r="B164" s="3" t="s">
        <v>618</v>
      </c>
      <c r="C164" s="3" t="s">
        <v>619</v>
      </c>
      <c r="D164" s="64"/>
      <c r="G164" s="63">
        <v>41548</v>
      </c>
      <c r="H164" s="3" t="s">
        <v>112</v>
      </c>
      <c r="I164" s="3">
        <v>12</v>
      </c>
    </row>
    <row r="165" spans="2:9" x14ac:dyDescent="0.25">
      <c r="B165" s="3" t="s">
        <v>620</v>
      </c>
      <c r="C165" s="3" t="s">
        <v>621</v>
      </c>
      <c r="D165" s="64"/>
      <c r="G165" s="63">
        <v>41543</v>
      </c>
      <c r="H165" s="3" t="s">
        <v>121</v>
      </c>
      <c r="I165" s="3">
        <v>111</v>
      </c>
    </row>
    <row r="166" spans="2:9" x14ac:dyDescent="0.25">
      <c r="B166" s="3" t="s">
        <v>622</v>
      </c>
      <c r="C166" s="3" t="s">
        <v>623</v>
      </c>
      <c r="D166" s="64"/>
      <c r="G166" s="63">
        <v>41543</v>
      </c>
      <c r="H166" s="3" t="s">
        <v>113</v>
      </c>
      <c r="I166" s="3">
        <v>170</v>
      </c>
    </row>
    <row r="167" spans="2:9" x14ac:dyDescent="0.25">
      <c r="B167" s="3" t="s">
        <v>625</v>
      </c>
      <c r="C167" s="3" t="s">
        <v>624</v>
      </c>
      <c r="D167" s="64"/>
      <c r="G167" s="63">
        <v>41544</v>
      </c>
      <c r="H167" s="3" t="s">
        <v>113</v>
      </c>
      <c r="I167" s="3">
        <v>116</v>
      </c>
    </row>
    <row r="168" spans="2:9" x14ac:dyDescent="0.25">
      <c r="B168" s="3" t="s">
        <v>626</v>
      </c>
      <c r="C168" s="3" t="s">
        <v>627</v>
      </c>
      <c r="D168" s="64"/>
      <c r="G168" s="63">
        <v>41546</v>
      </c>
      <c r="H168" s="3" t="s">
        <v>115</v>
      </c>
      <c r="I168" s="3">
        <v>152</v>
      </c>
    </row>
    <row r="169" spans="2:9" x14ac:dyDescent="0.25">
      <c r="G169" s="63">
        <v>41544</v>
      </c>
      <c r="H169" s="3" t="s">
        <v>110</v>
      </c>
      <c r="I169" s="3">
        <v>30</v>
      </c>
    </row>
    <row r="170" spans="2:9" x14ac:dyDescent="0.25">
      <c r="B170" s="1" t="s">
        <v>614</v>
      </c>
      <c r="G170" s="63">
        <v>41544</v>
      </c>
      <c r="H170" s="3" t="s">
        <v>122</v>
      </c>
      <c r="I170" s="3">
        <v>135</v>
      </c>
    </row>
    <row r="171" spans="2:9" x14ac:dyDescent="0.25">
      <c r="B171" s="3">
        <v>2.1</v>
      </c>
      <c r="G171" s="63">
        <v>41543</v>
      </c>
      <c r="H171" s="3" t="s">
        <v>118</v>
      </c>
      <c r="I171" s="3">
        <v>161</v>
      </c>
    </row>
    <row r="172" spans="2:9" x14ac:dyDescent="0.25">
      <c r="B172" s="3">
        <v>3.5</v>
      </c>
      <c r="G172" s="63">
        <v>41547</v>
      </c>
      <c r="H172" s="3" t="s">
        <v>112</v>
      </c>
      <c r="I172" s="3">
        <v>138</v>
      </c>
    </row>
    <row r="173" spans="2:9" x14ac:dyDescent="0.25">
      <c r="B173" s="3">
        <v>2.8</v>
      </c>
      <c r="G173" s="63">
        <v>41546</v>
      </c>
      <c r="H173" s="3" t="s">
        <v>109</v>
      </c>
      <c r="I173" s="3">
        <v>11</v>
      </c>
    </row>
    <row r="174" spans="2:9" x14ac:dyDescent="0.25">
      <c r="B174" s="3">
        <v>3.3</v>
      </c>
      <c r="G174" s="63">
        <v>41546</v>
      </c>
      <c r="H174" s="3" t="s">
        <v>114</v>
      </c>
      <c r="I174" s="3">
        <v>27</v>
      </c>
    </row>
    <row r="175" spans="2:9" x14ac:dyDescent="0.25">
      <c r="B175" s="3">
        <v>2</v>
      </c>
      <c r="G175" s="63">
        <v>41545</v>
      </c>
      <c r="H175" s="3" t="s">
        <v>120</v>
      </c>
      <c r="I175" s="3">
        <v>32</v>
      </c>
    </row>
    <row r="176" spans="2:9" x14ac:dyDescent="0.25">
      <c r="B176" s="3">
        <v>3.9</v>
      </c>
      <c r="G176" s="63">
        <v>41548</v>
      </c>
      <c r="H176" s="3" t="s">
        <v>110</v>
      </c>
      <c r="I176" s="3">
        <v>93</v>
      </c>
    </row>
    <row r="177" spans="2:9" x14ac:dyDescent="0.25">
      <c r="B177" s="3">
        <v>4</v>
      </c>
      <c r="G177" s="63">
        <v>41546</v>
      </c>
      <c r="H177" s="3" t="s">
        <v>122</v>
      </c>
      <c r="I177" s="3">
        <v>111</v>
      </c>
    </row>
    <row r="178" spans="2:9" x14ac:dyDescent="0.25">
      <c r="B178" s="3">
        <v>3.2</v>
      </c>
      <c r="G178" s="63">
        <v>41543</v>
      </c>
      <c r="H178" s="3" t="s">
        <v>108</v>
      </c>
      <c r="I178" s="3">
        <v>62</v>
      </c>
    </row>
    <row r="179" spans="2:9" x14ac:dyDescent="0.25">
      <c r="B179" s="3">
        <v>2.8</v>
      </c>
      <c r="G179" s="63">
        <v>41545</v>
      </c>
      <c r="H179" s="3" t="s">
        <v>113</v>
      </c>
      <c r="I179" s="3">
        <v>100</v>
      </c>
    </row>
    <row r="180" spans="2:9" x14ac:dyDescent="0.25">
      <c r="B180" s="3">
        <v>2.9</v>
      </c>
      <c r="G180" s="63">
        <v>41548</v>
      </c>
      <c r="H180" s="3" t="s">
        <v>110</v>
      </c>
      <c r="I180" s="3">
        <v>70</v>
      </c>
    </row>
    <row r="181" spans="2:9" x14ac:dyDescent="0.25">
      <c r="B181" s="3">
        <v>2.8</v>
      </c>
      <c r="G181" s="63">
        <v>41545</v>
      </c>
      <c r="H181" s="3" t="s">
        <v>112</v>
      </c>
      <c r="I181" s="3">
        <v>26</v>
      </c>
    </row>
    <row r="182" spans="2:9" x14ac:dyDescent="0.25">
      <c r="G182" s="63">
        <v>41545</v>
      </c>
      <c r="H182" s="3" t="s">
        <v>121</v>
      </c>
      <c r="I182" s="3">
        <v>64</v>
      </c>
    </row>
    <row r="183" spans="2:9" x14ac:dyDescent="0.25">
      <c r="G183" s="63">
        <v>41545</v>
      </c>
      <c r="H183" s="3" t="s">
        <v>117</v>
      </c>
      <c r="I183" s="3">
        <v>46</v>
      </c>
    </row>
    <row r="184" spans="2:9" x14ac:dyDescent="0.25">
      <c r="G184" s="63">
        <v>41548</v>
      </c>
      <c r="H184" s="3" t="s">
        <v>112</v>
      </c>
      <c r="I184" s="3">
        <v>166</v>
      </c>
    </row>
    <row r="185" spans="2:9" x14ac:dyDescent="0.25">
      <c r="G185" s="63">
        <v>41548</v>
      </c>
      <c r="H185" s="3" t="s">
        <v>121</v>
      </c>
      <c r="I185" s="3">
        <v>70</v>
      </c>
    </row>
    <row r="186" spans="2:9" x14ac:dyDescent="0.25">
      <c r="G186" s="63">
        <v>41548</v>
      </c>
      <c r="H186" s="3" t="s">
        <v>121</v>
      </c>
      <c r="I186" s="3">
        <v>111</v>
      </c>
    </row>
    <row r="187" spans="2:9" x14ac:dyDescent="0.25">
      <c r="G187" s="63">
        <v>41548</v>
      </c>
      <c r="H187" s="3" t="s">
        <v>107</v>
      </c>
      <c r="I187" s="3">
        <v>140</v>
      </c>
    </row>
    <row r="188" spans="2:9" x14ac:dyDescent="0.25">
      <c r="G188" s="63">
        <v>41548</v>
      </c>
      <c r="H188" s="3" t="s">
        <v>108</v>
      </c>
      <c r="I188" s="3">
        <v>165</v>
      </c>
    </row>
    <row r="189" spans="2:9" x14ac:dyDescent="0.25">
      <c r="G189" s="63">
        <v>41543</v>
      </c>
      <c r="H189" s="3" t="s">
        <v>109</v>
      </c>
      <c r="I189" s="3">
        <v>70</v>
      </c>
    </row>
    <row r="190" spans="2:9" x14ac:dyDescent="0.25">
      <c r="G190" s="63">
        <v>41543</v>
      </c>
      <c r="H190" s="3" t="s">
        <v>115</v>
      </c>
      <c r="I190" s="3">
        <v>164</v>
      </c>
    </row>
    <row r="191" spans="2:9" x14ac:dyDescent="0.25">
      <c r="G191" s="63">
        <v>41547</v>
      </c>
      <c r="H191" s="3" t="s">
        <v>109</v>
      </c>
      <c r="I191" s="3">
        <v>75</v>
      </c>
    </row>
    <row r="192" spans="2:9" x14ac:dyDescent="0.25">
      <c r="G192" s="63">
        <v>41543</v>
      </c>
      <c r="H192" s="3" t="s">
        <v>114</v>
      </c>
      <c r="I192" s="3">
        <v>91</v>
      </c>
    </row>
    <row r="193" spans="7:9" x14ac:dyDescent="0.25">
      <c r="G193" s="63">
        <v>41546</v>
      </c>
      <c r="H193" s="3" t="s">
        <v>122</v>
      </c>
      <c r="I193" s="3">
        <v>86</v>
      </c>
    </row>
    <row r="194" spans="7:9" x14ac:dyDescent="0.25">
      <c r="G194" s="63">
        <v>41548</v>
      </c>
      <c r="H194" s="3" t="s">
        <v>112</v>
      </c>
      <c r="I194" s="3">
        <v>65</v>
      </c>
    </row>
    <row r="195" spans="7:9" x14ac:dyDescent="0.25">
      <c r="G195" s="63">
        <v>41543</v>
      </c>
      <c r="H195" s="3" t="s">
        <v>113</v>
      </c>
      <c r="I195" s="3">
        <v>82</v>
      </c>
    </row>
    <row r="196" spans="7:9" x14ac:dyDescent="0.25">
      <c r="G196" s="63">
        <v>41544</v>
      </c>
      <c r="H196" s="3" t="s">
        <v>115</v>
      </c>
      <c r="I196" s="3">
        <v>27</v>
      </c>
    </row>
    <row r="197" spans="7:9" x14ac:dyDescent="0.25">
      <c r="G197" s="63">
        <v>41546</v>
      </c>
      <c r="H197" s="3" t="s">
        <v>117</v>
      </c>
      <c r="I197" s="3">
        <v>61</v>
      </c>
    </row>
    <row r="198" spans="7:9" x14ac:dyDescent="0.25">
      <c r="G198" s="63">
        <v>41544</v>
      </c>
      <c r="H198" s="3" t="s">
        <v>120</v>
      </c>
      <c r="I198" s="3">
        <v>75</v>
      </c>
    </row>
    <row r="199" spans="7:9" x14ac:dyDescent="0.25">
      <c r="G199" s="63">
        <v>41547</v>
      </c>
      <c r="H199" s="3" t="s">
        <v>109</v>
      </c>
      <c r="I199" s="3">
        <v>88</v>
      </c>
    </row>
    <row r="200" spans="7:9" x14ac:dyDescent="0.25">
      <c r="G200" s="63">
        <v>41545</v>
      </c>
      <c r="H200" s="3" t="s">
        <v>114</v>
      </c>
      <c r="I200" s="3">
        <v>22</v>
      </c>
    </row>
    <row r="201" spans="7:9" x14ac:dyDescent="0.25">
      <c r="G201" s="63">
        <v>41544</v>
      </c>
      <c r="H201" s="3" t="s">
        <v>115</v>
      </c>
      <c r="I201" s="3">
        <v>84</v>
      </c>
    </row>
    <row r="202" spans="7:9" x14ac:dyDescent="0.25">
      <c r="G202" s="63">
        <v>41547</v>
      </c>
      <c r="H202" s="3" t="s">
        <v>111</v>
      </c>
      <c r="I202" s="3">
        <v>173</v>
      </c>
    </row>
    <row r="203" spans="7:9" x14ac:dyDescent="0.25">
      <c r="G203" s="63">
        <v>41548</v>
      </c>
      <c r="H203" s="3" t="s">
        <v>121</v>
      </c>
      <c r="I203" s="3">
        <v>174</v>
      </c>
    </row>
    <row r="204" spans="7:9" x14ac:dyDescent="0.25">
      <c r="G204" s="63">
        <v>41544</v>
      </c>
      <c r="H204" s="3" t="s">
        <v>117</v>
      </c>
      <c r="I204" s="3">
        <v>172</v>
      </c>
    </row>
    <row r="205" spans="7:9" x14ac:dyDescent="0.25">
      <c r="G205" s="63">
        <v>41546</v>
      </c>
      <c r="H205" s="3" t="s">
        <v>122</v>
      </c>
      <c r="I205" s="3">
        <v>173</v>
      </c>
    </row>
    <row r="206" spans="7:9" x14ac:dyDescent="0.25">
      <c r="G206" s="63">
        <v>41548</v>
      </c>
      <c r="H206" s="3" t="s">
        <v>115</v>
      </c>
      <c r="I206" s="3">
        <v>17</v>
      </c>
    </row>
    <row r="207" spans="7:9" x14ac:dyDescent="0.25">
      <c r="G207" s="63">
        <v>41543</v>
      </c>
      <c r="H207" s="3" t="s">
        <v>119</v>
      </c>
      <c r="I207" s="3">
        <v>154</v>
      </c>
    </row>
    <row r="208" spans="7:9" x14ac:dyDescent="0.25">
      <c r="G208" s="63">
        <v>41546</v>
      </c>
      <c r="H208" s="3" t="s">
        <v>108</v>
      </c>
      <c r="I208" s="3">
        <v>162</v>
      </c>
    </row>
    <row r="209" spans="7:9" x14ac:dyDescent="0.25">
      <c r="G209" s="63">
        <v>41548</v>
      </c>
      <c r="H209" s="3" t="s">
        <v>119</v>
      </c>
      <c r="I209" s="3">
        <v>106</v>
      </c>
    </row>
    <row r="210" spans="7:9" x14ac:dyDescent="0.25">
      <c r="G210" s="63">
        <v>41543</v>
      </c>
      <c r="H210" s="3" t="s">
        <v>120</v>
      </c>
      <c r="I210" s="3">
        <v>29</v>
      </c>
    </row>
    <row r="211" spans="7:9" x14ac:dyDescent="0.25">
      <c r="G211" s="63">
        <v>41546</v>
      </c>
      <c r="H211" s="3" t="s">
        <v>107</v>
      </c>
      <c r="I211" s="3">
        <v>117</v>
      </c>
    </row>
    <row r="212" spans="7:9" x14ac:dyDescent="0.25">
      <c r="G212" s="63">
        <v>41543</v>
      </c>
      <c r="H212" s="3" t="s">
        <v>113</v>
      </c>
      <c r="I212" s="3">
        <v>46</v>
      </c>
    </row>
    <row r="213" spans="7:9" x14ac:dyDescent="0.25">
      <c r="G213" s="63">
        <v>41548</v>
      </c>
      <c r="H213" s="3" t="s">
        <v>120</v>
      </c>
      <c r="I213" s="3">
        <v>122</v>
      </c>
    </row>
    <row r="214" spans="7:9" x14ac:dyDescent="0.25">
      <c r="G214" s="63">
        <v>41545</v>
      </c>
      <c r="H214" s="3" t="s">
        <v>122</v>
      </c>
      <c r="I214" s="3">
        <v>118</v>
      </c>
    </row>
    <row r="215" spans="7:9" x14ac:dyDescent="0.25">
      <c r="G215" s="63">
        <v>41545</v>
      </c>
      <c r="H215" s="3" t="s">
        <v>122</v>
      </c>
      <c r="I215" s="3">
        <v>104</v>
      </c>
    </row>
    <row r="216" spans="7:9" x14ac:dyDescent="0.25">
      <c r="G216" s="63">
        <v>41543</v>
      </c>
      <c r="H216" s="3" t="s">
        <v>107</v>
      </c>
      <c r="I216" s="3">
        <v>149</v>
      </c>
    </row>
    <row r="217" spans="7:9" x14ac:dyDescent="0.25">
      <c r="G217" s="63">
        <v>41546</v>
      </c>
      <c r="H217" s="3" t="s">
        <v>116</v>
      </c>
      <c r="I217" s="3">
        <v>69</v>
      </c>
    </row>
    <row r="218" spans="7:9" x14ac:dyDescent="0.25">
      <c r="G218" s="63">
        <v>41547</v>
      </c>
      <c r="H218" s="3" t="s">
        <v>116</v>
      </c>
      <c r="I218" s="3">
        <v>48</v>
      </c>
    </row>
    <row r="219" spans="7:9" x14ac:dyDescent="0.25">
      <c r="G219" s="63">
        <v>41544</v>
      </c>
      <c r="H219" s="3" t="s">
        <v>109</v>
      </c>
      <c r="I219" s="3">
        <v>91</v>
      </c>
    </row>
    <row r="220" spans="7:9" x14ac:dyDescent="0.25">
      <c r="G220" s="63">
        <v>41545</v>
      </c>
      <c r="H220" s="3" t="s">
        <v>108</v>
      </c>
      <c r="I220" s="3">
        <v>165</v>
      </c>
    </row>
    <row r="221" spans="7:9" x14ac:dyDescent="0.25">
      <c r="G221" s="63">
        <v>41547</v>
      </c>
      <c r="H221" s="3" t="s">
        <v>112</v>
      </c>
      <c r="I221" s="3">
        <v>153</v>
      </c>
    </row>
    <row r="222" spans="7:9" x14ac:dyDescent="0.25">
      <c r="G222" s="63">
        <v>41548</v>
      </c>
      <c r="H222" s="3" t="s">
        <v>108</v>
      </c>
      <c r="I222" s="3">
        <v>126</v>
      </c>
    </row>
    <row r="223" spans="7:9" x14ac:dyDescent="0.25">
      <c r="G223" s="63">
        <v>41548</v>
      </c>
      <c r="H223" s="3" t="s">
        <v>114</v>
      </c>
      <c r="I223" s="3">
        <v>74</v>
      </c>
    </row>
    <row r="224" spans="7:9" x14ac:dyDescent="0.25">
      <c r="G224" s="63">
        <v>41546</v>
      </c>
      <c r="H224" s="3" t="s">
        <v>109</v>
      </c>
      <c r="I224" s="3">
        <v>141</v>
      </c>
    </row>
    <row r="225" spans="7:9" x14ac:dyDescent="0.25">
      <c r="G225" s="63">
        <v>41545</v>
      </c>
      <c r="H225" s="3" t="s">
        <v>112</v>
      </c>
      <c r="I225" s="3">
        <v>146</v>
      </c>
    </row>
    <row r="226" spans="7:9" x14ac:dyDescent="0.25">
      <c r="G226" s="63">
        <v>41543</v>
      </c>
      <c r="H226" s="3" t="s">
        <v>111</v>
      </c>
      <c r="I226" s="3">
        <v>95</v>
      </c>
    </row>
    <row r="227" spans="7:9" x14ac:dyDescent="0.25">
      <c r="G227" s="63">
        <v>41547</v>
      </c>
      <c r="H227" s="3" t="s">
        <v>112</v>
      </c>
      <c r="I227" s="3">
        <v>152</v>
      </c>
    </row>
    <row r="228" spans="7:9" x14ac:dyDescent="0.25">
      <c r="G228" s="63">
        <v>41544</v>
      </c>
      <c r="H228" s="3" t="s">
        <v>112</v>
      </c>
      <c r="I228" s="3">
        <v>27</v>
      </c>
    </row>
    <row r="229" spans="7:9" x14ac:dyDescent="0.25">
      <c r="G229" s="63">
        <v>41546</v>
      </c>
      <c r="H229" s="3" t="s">
        <v>107</v>
      </c>
      <c r="I229" s="3">
        <v>36</v>
      </c>
    </row>
    <row r="230" spans="7:9" x14ac:dyDescent="0.25">
      <c r="G230" s="63">
        <v>41544</v>
      </c>
      <c r="H230" s="3" t="s">
        <v>115</v>
      </c>
      <c r="I230" s="3">
        <v>123</v>
      </c>
    </row>
    <row r="231" spans="7:9" x14ac:dyDescent="0.25">
      <c r="G231" s="63">
        <v>41547</v>
      </c>
      <c r="H231" s="3" t="s">
        <v>109</v>
      </c>
      <c r="I231" s="3">
        <v>90</v>
      </c>
    </row>
    <row r="232" spans="7:9" x14ac:dyDescent="0.25">
      <c r="G232" s="63">
        <v>41548</v>
      </c>
      <c r="H232" s="3" t="s">
        <v>114</v>
      </c>
      <c r="I232" s="3">
        <v>157</v>
      </c>
    </row>
    <row r="233" spans="7:9" x14ac:dyDescent="0.25">
      <c r="G233" s="63">
        <v>41547</v>
      </c>
      <c r="H233" s="3" t="s">
        <v>107</v>
      </c>
      <c r="I233" s="3">
        <v>30</v>
      </c>
    </row>
    <row r="234" spans="7:9" x14ac:dyDescent="0.25">
      <c r="G234" s="63">
        <v>41546</v>
      </c>
      <c r="H234" s="3" t="s">
        <v>120</v>
      </c>
      <c r="I234" s="3">
        <v>133</v>
      </c>
    </row>
    <row r="235" spans="7:9" x14ac:dyDescent="0.25">
      <c r="G235" s="63">
        <v>41545</v>
      </c>
      <c r="H235" s="3" t="s">
        <v>110</v>
      </c>
      <c r="I235" s="3">
        <v>57</v>
      </c>
    </row>
    <row r="236" spans="7:9" x14ac:dyDescent="0.25">
      <c r="G236" s="63">
        <v>41546</v>
      </c>
      <c r="H236" s="3" t="s">
        <v>112</v>
      </c>
      <c r="I236" s="3">
        <v>171</v>
      </c>
    </row>
    <row r="237" spans="7:9" x14ac:dyDescent="0.25">
      <c r="G237" s="63">
        <v>41546</v>
      </c>
      <c r="H237" s="3" t="s">
        <v>121</v>
      </c>
      <c r="I237" s="3">
        <v>58</v>
      </c>
    </row>
    <row r="238" spans="7:9" x14ac:dyDescent="0.25">
      <c r="G238" s="63">
        <v>41546</v>
      </c>
      <c r="H238" s="3" t="s">
        <v>107</v>
      </c>
      <c r="I238" s="3">
        <v>86</v>
      </c>
    </row>
    <row r="239" spans="7:9" x14ac:dyDescent="0.25">
      <c r="G239" s="63">
        <v>41543</v>
      </c>
      <c r="H239" s="3" t="s">
        <v>112</v>
      </c>
      <c r="I239" s="3">
        <v>85</v>
      </c>
    </row>
    <row r="240" spans="7:9" x14ac:dyDescent="0.25">
      <c r="G240" s="63">
        <v>41545</v>
      </c>
      <c r="H240" s="3" t="s">
        <v>108</v>
      </c>
      <c r="I240" s="3">
        <v>56</v>
      </c>
    </row>
    <row r="241" spans="7:9" x14ac:dyDescent="0.25">
      <c r="G241" s="63">
        <v>41546</v>
      </c>
      <c r="H241" s="3" t="s">
        <v>114</v>
      </c>
      <c r="I241" s="3">
        <v>104</v>
      </c>
    </row>
    <row r="242" spans="7:9" x14ac:dyDescent="0.25">
      <c r="G242" s="63">
        <v>41547</v>
      </c>
      <c r="H242" s="3" t="s">
        <v>109</v>
      </c>
      <c r="I242" s="3">
        <v>141</v>
      </c>
    </row>
    <row r="243" spans="7:9" x14ac:dyDescent="0.25">
      <c r="G243" s="63">
        <v>41546</v>
      </c>
      <c r="H243" s="3" t="s">
        <v>113</v>
      </c>
      <c r="I243" s="3">
        <v>83</v>
      </c>
    </row>
    <row r="244" spans="7:9" x14ac:dyDescent="0.25">
      <c r="G244" s="63">
        <v>41544</v>
      </c>
      <c r="H244" s="3" t="s">
        <v>113</v>
      </c>
      <c r="I244" s="3">
        <v>142</v>
      </c>
    </row>
    <row r="245" spans="7:9" x14ac:dyDescent="0.25">
      <c r="G245" s="63">
        <v>41546</v>
      </c>
      <c r="H245" s="3" t="s">
        <v>114</v>
      </c>
      <c r="I245" s="3">
        <v>141</v>
      </c>
    </row>
    <row r="246" spans="7:9" x14ac:dyDescent="0.25">
      <c r="G246" s="63">
        <v>41548</v>
      </c>
      <c r="H246" s="3" t="s">
        <v>117</v>
      </c>
      <c r="I246" s="3">
        <v>161</v>
      </c>
    </row>
    <row r="247" spans="7:9" x14ac:dyDescent="0.25">
      <c r="G247" s="63">
        <v>41547</v>
      </c>
      <c r="H247" s="3" t="s">
        <v>112</v>
      </c>
      <c r="I247" s="3">
        <v>14</v>
      </c>
    </row>
    <row r="248" spans="7:9" x14ac:dyDescent="0.25">
      <c r="G248" s="63">
        <v>41543</v>
      </c>
      <c r="H248" s="3" t="s">
        <v>116</v>
      </c>
      <c r="I248" s="3">
        <v>115</v>
      </c>
    </row>
    <row r="249" spans="7:9" x14ac:dyDescent="0.25">
      <c r="G249" s="63">
        <v>41546</v>
      </c>
      <c r="H249" s="3" t="s">
        <v>114</v>
      </c>
      <c r="I249" s="3">
        <v>102</v>
      </c>
    </row>
    <row r="250" spans="7:9" x14ac:dyDescent="0.25">
      <c r="G250" s="63">
        <v>41545</v>
      </c>
      <c r="H250" s="3" t="s">
        <v>108</v>
      </c>
      <c r="I250" s="3">
        <v>80</v>
      </c>
    </row>
    <row r="251" spans="7:9" x14ac:dyDescent="0.25">
      <c r="G251" s="63">
        <v>41548</v>
      </c>
      <c r="H251" s="3" t="s">
        <v>118</v>
      </c>
      <c r="I251" s="3">
        <v>113</v>
      </c>
    </row>
    <row r="252" spans="7:9" x14ac:dyDescent="0.25">
      <c r="G252" s="63">
        <v>41544</v>
      </c>
      <c r="H252" s="3" t="s">
        <v>107</v>
      </c>
      <c r="I252" s="3">
        <v>116</v>
      </c>
    </row>
    <row r="257" spans="2:4" x14ac:dyDescent="0.25">
      <c r="B257" s="1" t="s">
        <v>103</v>
      </c>
      <c r="C257" s="1" t="s">
        <v>104</v>
      </c>
      <c r="D257" s="1" t="s">
        <v>105</v>
      </c>
    </row>
    <row r="258" spans="2:4" x14ac:dyDescent="0.25">
      <c r="B258" s="63">
        <v>41544</v>
      </c>
      <c r="C258" s="3" t="s">
        <v>117</v>
      </c>
      <c r="D258" s="3">
        <v>39</v>
      </c>
    </row>
    <row r="259" spans="2:4" x14ac:dyDescent="0.25">
      <c r="B259" s="63">
        <v>41543</v>
      </c>
      <c r="C259" s="3" t="s">
        <v>117</v>
      </c>
      <c r="D259" s="3">
        <v>164</v>
      </c>
    </row>
    <row r="260" spans="2:4" x14ac:dyDescent="0.25">
      <c r="B260" s="63">
        <v>41546</v>
      </c>
      <c r="C260" s="3" t="s">
        <v>117</v>
      </c>
      <c r="D260" s="3">
        <v>55</v>
      </c>
    </row>
    <row r="261" spans="2:4" x14ac:dyDescent="0.25">
      <c r="B261" s="63">
        <v>41546</v>
      </c>
      <c r="C261" s="3" t="s">
        <v>117</v>
      </c>
      <c r="D261" s="3">
        <v>88</v>
      </c>
    </row>
    <row r="262" spans="2:4" x14ac:dyDescent="0.25">
      <c r="B262" s="63">
        <v>41543</v>
      </c>
      <c r="C262" s="3" t="s">
        <v>117</v>
      </c>
      <c r="D262" s="3">
        <v>156</v>
      </c>
    </row>
    <row r="263" spans="2:4" x14ac:dyDescent="0.25">
      <c r="B263" s="63">
        <v>41544</v>
      </c>
      <c r="C263" s="3" t="s">
        <v>117</v>
      </c>
      <c r="D263" s="3">
        <v>126</v>
      </c>
    </row>
    <row r="264" spans="2:4" x14ac:dyDescent="0.25">
      <c r="B264" s="63">
        <v>41548</v>
      </c>
      <c r="C264" s="3" t="s">
        <v>117</v>
      </c>
      <c r="D264" s="3">
        <v>139</v>
      </c>
    </row>
    <row r="265" spans="2:4" x14ac:dyDescent="0.25">
      <c r="B265" s="63">
        <v>41548</v>
      </c>
      <c r="C265" s="3" t="s">
        <v>117</v>
      </c>
      <c r="D265" s="3">
        <v>107</v>
      </c>
    </row>
    <row r="266" spans="2:4" x14ac:dyDescent="0.25">
      <c r="B266" s="63">
        <v>41546</v>
      </c>
      <c r="C266" s="3" t="s">
        <v>117</v>
      </c>
      <c r="D266" s="3">
        <v>170</v>
      </c>
    </row>
    <row r="267" spans="2:4" x14ac:dyDescent="0.25">
      <c r="B267" s="63">
        <v>41543</v>
      </c>
      <c r="C267" s="3" t="s">
        <v>117</v>
      </c>
      <c r="D267" s="3">
        <v>129</v>
      </c>
    </row>
    <row r="268" spans="2:4" x14ac:dyDescent="0.25">
      <c r="B268" s="63">
        <v>41545</v>
      </c>
      <c r="C268" s="3" t="s">
        <v>117</v>
      </c>
      <c r="D268" s="3">
        <v>46</v>
      </c>
    </row>
    <row r="269" spans="2:4" x14ac:dyDescent="0.25">
      <c r="B269" s="63">
        <v>41546</v>
      </c>
      <c r="C269" s="3" t="s">
        <v>117</v>
      </c>
      <c r="D269" s="3">
        <v>61</v>
      </c>
    </row>
    <row r="270" spans="2:4" x14ac:dyDescent="0.25">
      <c r="B270" s="63">
        <v>41544</v>
      </c>
      <c r="C270" s="3" t="s">
        <v>117</v>
      </c>
      <c r="D270" s="3">
        <v>172</v>
      </c>
    </row>
    <row r="271" spans="2:4" x14ac:dyDescent="0.25">
      <c r="B271" s="63">
        <v>41548</v>
      </c>
      <c r="C271" s="3" t="s">
        <v>117</v>
      </c>
      <c r="D271" s="3">
        <v>161</v>
      </c>
    </row>
  </sheetData>
  <conditionalFormatting sqref="B147:D155">
    <cfRule type="expression" dxfId="3" priority="1">
      <formula>AND($B147=$B$144,$C147=$C$144)</formula>
    </cfRule>
  </conditionalFormatting>
  <dataValidations count="1">
    <dataValidation type="list" allowBlank="1" showInputMessage="1" showErrorMessage="1" sqref="B92">
      <formula1>$B$97:$B$100</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6"/>
  <sheetViews>
    <sheetView zoomScale="175" zoomScaleNormal="175" workbookViewId="0">
      <selection activeCell="C21" sqref="C21"/>
    </sheetView>
  </sheetViews>
  <sheetFormatPr defaultRowHeight="15" x14ac:dyDescent="0.25"/>
  <sheetData>
    <row r="1" spans="1:2" ht="30" x14ac:dyDescent="0.25">
      <c r="A1" s="134" t="s">
        <v>689</v>
      </c>
      <c r="B1" s="134"/>
    </row>
    <row r="2" spans="1:2" x14ac:dyDescent="0.25">
      <c r="A2" t="s">
        <v>418</v>
      </c>
      <c r="B2" t="s">
        <v>419</v>
      </c>
    </row>
    <row r="3" spans="1:2" x14ac:dyDescent="0.25">
      <c r="A3" s="153">
        <v>1682</v>
      </c>
    </row>
    <row r="4" spans="1:2" x14ac:dyDescent="0.25">
      <c r="A4" s="153">
        <v>154</v>
      </c>
    </row>
    <row r="5" spans="1:2" ht="15.75" thickBot="1" x14ac:dyDescent="0.3">
      <c r="A5" s="154">
        <f>SUM(A3:A4)</f>
        <v>1836</v>
      </c>
      <c r="B5" s="140"/>
    </row>
    <row r="6" spans="1:2" ht="15.75" thickTop="1" x14ac:dyDescent="0.25"/>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12"/>
  <sheetViews>
    <sheetView zoomScaleNormal="100" workbookViewId="0">
      <selection activeCell="B2" sqref="B2"/>
    </sheetView>
  </sheetViews>
  <sheetFormatPr defaultRowHeight="15" x14ac:dyDescent="0.25"/>
  <cols>
    <col min="1" max="1" width="20.85546875" customWidth="1"/>
    <col min="2" max="2" width="13.42578125" customWidth="1"/>
    <col min="4" max="4" width="45.42578125" customWidth="1"/>
    <col min="6" max="6" width="12.5703125" customWidth="1"/>
    <col min="7" max="7" width="2.28515625" customWidth="1"/>
    <col min="9" max="9" width="12.5703125" customWidth="1"/>
  </cols>
  <sheetData>
    <row r="1" spans="1:9" x14ac:dyDescent="0.25">
      <c r="A1" s="68" t="s">
        <v>676</v>
      </c>
      <c r="B1" s="69"/>
      <c r="C1" s="70"/>
      <c r="E1" s="5" t="s">
        <v>325</v>
      </c>
      <c r="H1" s="5" t="s">
        <v>260</v>
      </c>
    </row>
    <row r="2" spans="1:9" x14ac:dyDescent="0.25">
      <c r="A2" t="s">
        <v>671</v>
      </c>
      <c r="E2" s="3" t="s">
        <v>420</v>
      </c>
      <c r="F2" s="147">
        <v>10000</v>
      </c>
      <c r="H2" s="3" t="s">
        <v>420</v>
      </c>
      <c r="I2" s="147">
        <v>9000</v>
      </c>
    </row>
    <row r="3" spans="1:9" x14ac:dyDescent="0.25">
      <c r="A3" t="s">
        <v>677</v>
      </c>
      <c r="E3" s="3" t="s">
        <v>421</v>
      </c>
      <c r="F3" s="147">
        <v>500</v>
      </c>
      <c r="H3" s="3" t="s">
        <v>421</v>
      </c>
      <c r="I3" s="147">
        <v>400</v>
      </c>
    </row>
    <row r="4" spans="1:9" x14ac:dyDescent="0.25">
      <c r="A4" t="s">
        <v>678</v>
      </c>
      <c r="E4" s="3" t="s">
        <v>422</v>
      </c>
      <c r="F4" s="147">
        <v>654</v>
      </c>
      <c r="H4" s="3" t="s">
        <v>422</v>
      </c>
      <c r="I4" s="147">
        <v>589</v>
      </c>
    </row>
    <row r="5" spans="1:9" x14ac:dyDescent="0.25">
      <c r="A5" t="s">
        <v>679</v>
      </c>
      <c r="E5" s="3" t="s">
        <v>423</v>
      </c>
      <c r="F5" s="147">
        <v>85</v>
      </c>
      <c r="H5" s="3" t="s">
        <v>423</v>
      </c>
      <c r="I5" s="147">
        <v>95</v>
      </c>
    </row>
    <row r="6" spans="1:9" x14ac:dyDescent="0.25">
      <c r="A6" t="s">
        <v>680</v>
      </c>
      <c r="E6" s="3" t="s">
        <v>424</v>
      </c>
      <c r="F6" s="147">
        <v>958</v>
      </c>
      <c r="H6" s="3" t="s">
        <v>424</v>
      </c>
      <c r="I6" s="147">
        <v>1200</v>
      </c>
    </row>
    <row r="7" spans="1:9" x14ac:dyDescent="0.25">
      <c r="A7" t="s">
        <v>686</v>
      </c>
      <c r="E7" s="3" t="s">
        <v>425</v>
      </c>
      <c r="F7" s="147">
        <v>6522</v>
      </c>
      <c r="H7" s="3" t="s">
        <v>425</v>
      </c>
      <c r="I7" s="147">
        <v>6100</v>
      </c>
    </row>
    <row r="8" spans="1:9" x14ac:dyDescent="0.25">
      <c r="A8" t="s">
        <v>687</v>
      </c>
      <c r="E8" s="3" t="s">
        <v>426</v>
      </c>
      <c r="F8" s="147">
        <v>12</v>
      </c>
      <c r="H8" s="3" t="s">
        <v>426</v>
      </c>
      <c r="I8" s="147">
        <v>59</v>
      </c>
    </row>
    <row r="10" spans="1:9" x14ac:dyDescent="0.25">
      <c r="A10" s="3" t="s">
        <v>427</v>
      </c>
      <c r="B10" s="138">
        <f>F2-SUM(F3:F8)</f>
        <v>1269</v>
      </c>
    </row>
    <row r="11" spans="1:9" x14ac:dyDescent="0.25">
      <c r="A11" s="3" t="s">
        <v>428</v>
      </c>
      <c r="B11" s="138"/>
    </row>
    <row r="12" spans="1:9" x14ac:dyDescent="0.25">
      <c r="A12" s="3" t="s">
        <v>429</v>
      </c>
      <c r="B12" s="13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2"/>
  <sheetViews>
    <sheetView zoomScale="115" zoomScaleNormal="115" workbookViewId="0">
      <selection activeCell="E1" sqref="E1:I8"/>
    </sheetView>
  </sheetViews>
  <sheetFormatPr defaultRowHeight="15" x14ac:dyDescent="0.25"/>
  <cols>
    <col min="1" max="1" width="20.85546875" customWidth="1"/>
    <col min="2" max="2" width="13.42578125" customWidth="1"/>
    <col min="4" max="4" width="45.42578125" customWidth="1"/>
    <col min="6" max="6" width="12.5703125" customWidth="1"/>
    <col min="7" max="7" width="2.28515625" customWidth="1"/>
    <col min="9" max="9" width="12.5703125" customWidth="1"/>
  </cols>
  <sheetData>
    <row r="1" spans="1:9" x14ac:dyDescent="0.25">
      <c r="A1" s="68" t="s">
        <v>676</v>
      </c>
      <c r="B1" s="69"/>
      <c r="C1" s="70"/>
      <c r="E1" s="5" t="s">
        <v>325</v>
      </c>
      <c r="H1" s="5" t="s">
        <v>260</v>
      </c>
    </row>
    <row r="2" spans="1:9" x14ac:dyDescent="0.25">
      <c r="A2" t="s">
        <v>671</v>
      </c>
      <c r="E2" s="3" t="s">
        <v>420</v>
      </c>
      <c r="F2" s="147">
        <v>10000</v>
      </c>
      <c r="H2" s="3" t="s">
        <v>420</v>
      </c>
      <c r="I2" s="147">
        <v>9000</v>
      </c>
    </row>
    <row r="3" spans="1:9" x14ac:dyDescent="0.25">
      <c r="A3" t="s">
        <v>677</v>
      </c>
      <c r="E3" s="3" t="s">
        <v>421</v>
      </c>
      <c r="F3" s="147">
        <v>500</v>
      </c>
      <c r="H3" s="3" t="s">
        <v>421</v>
      </c>
      <c r="I3" s="147">
        <v>400</v>
      </c>
    </row>
    <row r="4" spans="1:9" x14ac:dyDescent="0.25">
      <c r="A4" t="s">
        <v>678</v>
      </c>
      <c r="E4" s="3" t="s">
        <v>422</v>
      </c>
      <c r="F4" s="147">
        <v>654</v>
      </c>
      <c r="H4" s="3" t="s">
        <v>422</v>
      </c>
      <c r="I4" s="147">
        <v>589</v>
      </c>
    </row>
    <row r="5" spans="1:9" x14ac:dyDescent="0.25">
      <c r="A5" t="s">
        <v>679</v>
      </c>
      <c r="E5" s="3" t="s">
        <v>423</v>
      </c>
      <c r="F5" s="147">
        <v>85</v>
      </c>
      <c r="H5" s="3" t="s">
        <v>423</v>
      </c>
      <c r="I5" s="147">
        <v>95</v>
      </c>
    </row>
    <row r="6" spans="1:9" x14ac:dyDescent="0.25">
      <c r="A6" t="s">
        <v>680</v>
      </c>
      <c r="E6" s="3" t="s">
        <v>424</v>
      </c>
      <c r="F6" s="147">
        <v>958</v>
      </c>
      <c r="H6" s="3" t="s">
        <v>424</v>
      </c>
      <c r="I6" s="147">
        <v>1200</v>
      </c>
    </row>
    <row r="7" spans="1:9" x14ac:dyDescent="0.25">
      <c r="A7" t="s">
        <v>686</v>
      </c>
      <c r="E7" s="3" t="s">
        <v>425</v>
      </c>
      <c r="F7" s="147">
        <v>6522</v>
      </c>
      <c r="H7" s="3" t="s">
        <v>425</v>
      </c>
      <c r="I7" s="147">
        <v>6100</v>
      </c>
    </row>
    <row r="8" spans="1:9" x14ac:dyDescent="0.25">
      <c r="A8" t="s">
        <v>687</v>
      </c>
      <c r="E8" s="3" t="s">
        <v>426</v>
      </c>
      <c r="F8" s="147">
        <v>12</v>
      </c>
      <c r="H8" s="3" t="s">
        <v>426</v>
      </c>
      <c r="I8" s="147">
        <v>59</v>
      </c>
    </row>
    <row r="10" spans="1:9" x14ac:dyDescent="0.25">
      <c r="A10" s="3" t="s">
        <v>427</v>
      </c>
      <c r="B10" s="138">
        <f>F2-SUM(F3:F8)</f>
        <v>1269</v>
      </c>
    </row>
    <row r="11" spans="1:9" x14ac:dyDescent="0.25">
      <c r="A11" s="3" t="s">
        <v>428</v>
      </c>
      <c r="B11" s="138" t="s">
        <v>719</v>
      </c>
      <c r="C11" t="s">
        <v>721</v>
      </c>
    </row>
    <row r="12" spans="1:9" x14ac:dyDescent="0.25">
      <c r="A12" s="3" t="s">
        <v>429</v>
      </c>
      <c r="B12" s="138" t="s">
        <v>720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12"/>
  <sheetViews>
    <sheetView zoomScale="175" zoomScaleNormal="175" workbookViewId="0">
      <selection activeCell="B3" sqref="B3"/>
    </sheetView>
  </sheetViews>
  <sheetFormatPr defaultRowHeight="15" x14ac:dyDescent="0.25"/>
  <sheetData>
    <row r="1" spans="1:10" ht="18.75" x14ac:dyDescent="0.3">
      <c r="A1" s="142" t="str">
        <f ca="1">REPLACE(CELL("filename",A1),1,FIND("]",CELL("filename",A1)),"")&amp;"oration Totals"</f>
        <v>Corporation Totals</v>
      </c>
      <c r="B1" s="142"/>
      <c r="C1" s="142"/>
      <c r="D1" s="142"/>
      <c r="E1" s="142"/>
      <c r="F1" s="142"/>
      <c r="H1" s="68" t="s">
        <v>453</v>
      </c>
      <c r="I1" s="69"/>
      <c r="J1" s="70"/>
    </row>
    <row r="2" spans="1:10" x14ac:dyDescent="0.25">
      <c r="A2" s="3"/>
      <c r="B2" s="143" t="s">
        <v>220</v>
      </c>
      <c r="C2" s="143" t="s">
        <v>221</v>
      </c>
      <c r="D2" s="143" t="s">
        <v>231</v>
      </c>
      <c r="E2" s="143" t="s">
        <v>259</v>
      </c>
      <c r="F2" s="1" t="s">
        <v>404</v>
      </c>
      <c r="H2" t="s">
        <v>681</v>
      </c>
    </row>
    <row r="3" spans="1:10" x14ac:dyDescent="0.25">
      <c r="A3" s="143" t="s">
        <v>430</v>
      </c>
      <c r="B3" s="64"/>
      <c r="C3" s="64"/>
      <c r="D3" s="64"/>
      <c r="E3" s="64"/>
      <c r="F3" s="1">
        <f t="shared" ref="F3:F9" si="0">SUM(B3:E3)</f>
        <v>0</v>
      </c>
      <c r="H3" t="s">
        <v>682</v>
      </c>
    </row>
    <row r="4" spans="1:10" x14ac:dyDescent="0.25">
      <c r="A4" s="143" t="s">
        <v>431</v>
      </c>
      <c r="B4" s="64"/>
      <c r="C4" s="64"/>
      <c r="D4" s="64"/>
      <c r="E4" s="64"/>
      <c r="F4" s="1">
        <f t="shared" si="0"/>
        <v>0</v>
      </c>
      <c r="H4" t="s">
        <v>683</v>
      </c>
    </row>
    <row r="5" spans="1:10" x14ac:dyDescent="0.25">
      <c r="A5" s="143" t="s">
        <v>432</v>
      </c>
      <c r="B5" s="64"/>
      <c r="C5" s="64"/>
      <c r="D5" s="64"/>
      <c r="E5" s="64"/>
      <c r="F5" s="1">
        <f t="shared" si="0"/>
        <v>0</v>
      </c>
      <c r="H5" t="s">
        <v>684</v>
      </c>
    </row>
    <row r="6" spans="1:10" x14ac:dyDescent="0.25">
      <c r="A6" s="143" t="s">
        <v>433</v>
      </c>
      <c r="B6" s="64"/>
      <c r="C6" s="64"/>
      <c r="D6" s="64"/>
      <c r="E6" s="64"/>
      <c r="F6" s="1">
        <f t="shared" si="0"/>
        <v>0</v>
      </c>
      <c r="H6" t="s">
        <v>685</v>
      </c>
    </row>
    <row r="7" spans="1:10" x14ac:dyDescent="0.25">
      <c r="A7" s="143" t="s">
        <v>434</v>
      </c>
      <c r="B7" s="64"/>
      <c r="C7" s="64"/>
      <c r="D7" s="64"/>
      <c r="E7" s="64"/>
      <c r="F7" s="1">
        <f t="shared" si="0"/>
        <v>0</v>
      </c>
    </row>
    <row r="8" spans="1:10" x14ac:dyDescent="0.25">
      <c r="A8" s="143" t="s">
        <v>435</v>
      </c>
      <c r="B8" s="64"/>
      <c r="C8" s="64"/>
      <c r="D8" s="64"/>
      <c r="E8" s="64"/>
      <c r="F8" s="1">
        <f t="shared" si="0"/>
        <v>0</v>
      </c>
    </row>
    <row r="9" spans="1:10" x14ac:dyDescent="0.25">
      <c r="A9" s="1" t="s">
        <v>404</v>
      </c>
      <c r="B9" s="1">
        <f>SUM(B3:B8)</f>
        <v>0</v>
      </c>
      <c r="C9" s="1">
        <f>SUM(C3:C8)</f>
        <v>0</v>
      </c>
      <c r="D9" s="1">
        <f>SUM(D3:D8)</f>
        <v>0</v>
      </c>
      <c r="E9" s="1">
        <f>SUM(E3:E8)</f>
        <v>0</v>
      </c>
      <c r="F9" s="1">
        <f t="shared" si="0"/>
        <v>0</v>
      </c>
    </row>
    <row r="11" spans="1:10" x14ac:dyDescent="0.25">
      <c r="B11" s="143" t="s">
        <v>220</v>
      </c>
      <c r="C11" s="143" t="s">
        <v>221</v>
      </c>
      <c r="D11" s="143" t="s">
        <v>231</v>
      </c>
      <c r="E11" s="143" t="s">
        <v>259</v>
      </c>
    </row>
    <row r="12" spans="1:10" x14ac:dyDescent="0.25">
      <c r="B12">
        <f>SUM(Oak:Tac!B3:B8)</f>
        <v>136</v>
      </c>
      <c r="C12">
        <f>SUM(Oak:Tac!C3:C8)</f>
        <v>132</v>
      </c>
      <c r="D12">
        <f>SUM(Oak:Tac!D3:D8)</f>
        <v>95</v>
      </c>
      <c r="E12">
        <f>SUM(Oak:Tac!E3:E8)</f>
        <v>111</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2"/>
  <sheetViews>
    <sheetView workbookViewId="0">
      <selection sqref="A1:XFD1048576"/>
    </sheetView>
  </sheetViews>
  <sheetFormatPr defaultRowHeight="15" x14ac:dyDescent="0.25"/>
  <sheetData>
    <row r="1" spans="1:10" ht="18.75" x14ac:dyDescent="0.3">
      <c r="A1" s="142" t="str">
        <f ca="1">REPLACE(CELL("filename",A1),1,FIND("]",CELL("filename",A1)),"")&amp;"oration Totals"</f>
        <v>Corp (an)oration Totals</v>
      </c>
      <c r="B1" s="142"/>
      <c r="C1" s="142"/>
      <c r="D1" s="142"/>
      <c r="E1" s="142"/>
      <c r="F1" s="142"/>
      <c r="H1" s="68" t="s">
        <v>453</v>
      </c>
      <c r="I1" s="69"/>
      <c r="J1" s="70"/>
    </row>
    <row r="2" spans="1:10" x14ac:dyDescent="0.25">
      <c r="A2" s="3"/>
      <c r="B2" s="143" t="s">
        <v>220</v>
      </c>
      <c r="C2" s="143" t="s">
        <v>221</v>
      </c>
      <c r="D2" s="143" t="s">
        <v>231</v>
      </c>
      <c r="E2" s="143" t="s">
        <v>259</v>
      </c>
      <c r="F2" s="1" t="s">
        <v>404</v>
      </c>
      <c r="H2" t="s">
        <v>681</v>
      </c>
    </row>
    <row r="3" spans="1:10" x14ac:dyDescent="0.25">
      <c r="A3" s="143" t="s">
        <v>430</v>
      </c>
      <c r="B3" s="64">
        <f>SUM(Oak:Tac!B3)</f>
        <v>31</v>
      </c>
      <c r="C3" s="64">
        <f>SUM(Oak:Tac!C3)</f>
        <v>25</v>
      </c>
      <c r="D3" s="64">
        <f>SUM(Oak:Tac!D3)</f>
        <v>14</v>
      </c>
      <c r="E3" s="64">
        <f>SUM(Oak:Tac!E3)</f>
        <v>17</v>
      </c>
      <c r="F3" s="1">
        <f t="shared" ref="F3:F9" si="0">SUM(B3:E3)</f>
        <v>87</v>
      </c>
      <c r="H3" t="s">
        <v>682</v>
      </c>
    </row>
    <row r="4" spans="1:10" x14ac:dyDescent="0.25">
      <c r="A4" s="143" t="s">
        <v>431</v>
      </c>
      <c r="B4" s="64">
        <f>SUM(Oak:Tac!B4)</f>
        <v>12</v>
      </c>
      <c r="C4" s="64">
        <f>SUM(Oak:Tac!C4)</f>
        <v>29</v>
      </c>
      <c r="D4" s="64">
        <f>SUM(Oak:Tac!D4)</f>
        <v>21</v>
      </c>
      <c r="E4" s="64">
        <f>SUM(Oak:Tac!E4)</f>
        <v>27</v>
      </c>
      <c r="F4" s="1">
        <f t="shared" si="0"/>
        <v>89</v>
      </c>
      <c r="H4" t="s">
        <v>683</v>
      </c>
    </row>
    <row r="5" spans="1:10" x14ac:dyDescent="0.25">
      <c r="A5" s="143" t="s">
        <v>432</v>
      </c>
      <c r="B5" s="64">
        <f>SUM(Oak:Tac!B5)</f>
        <v>33</v>
      </c>
      <c r="C5" s="64">
        <f>SUM(Oak:Tac!C5)</f>
        <v>15</v>
      </c>
      <c r="D5" s="64">
        <f>SUM(Oak:Tac!D5)</f>
        <v>17</v>
      </c>
      <c r="E5" s="64">
        <f>SUM(Oak:Tac!E5)</f>
        <v>20</v>
      </c>
      <c r="F5" s="1">
        <f t="shared" si="0"/>
        <v>85</v>
      </c>
      <c r="H5" t="s">
        <v>684</v>
      </c>
    </row>
    <row r="6" spans="1:10" x14ac:dyDescent="0.25">
      <c r="A6" s="143" t="s">
        <v>433</v>
      </c>
      <c r="B6" s="64">
        <f>SUM(Oak:Tac!B6)</f>
        <v>18</v>
      </c>
      <c r="C6" s="64">
        <f>SUM(Oak:Tac!C6)</f>
        <v>33</v>
      </c>
      <c r="D6" s="64">
        <f>SUM(Oak:Tac!D6)</f>
        <v>10</v>
      </c>
      <c r="E6" s="64">
        <f>SUM(Oak:Tac!E6)</f>
        <v>7</v>
      </c>
      <c r="F6" s="1">
        <f t="shared" si="0"/>
        <v>68</v>
      </c>
      <c r="H6" t="s">
        <v>685</v>
      </c>
    </row>
    <row r="7" spans="1:10" x14ac:dyDescent="0.25">
      <c r="A7" s="143" t="s">
        <v>434</v>
      </c>
      <c r="B7" s="64">
        <f>SUM(Oak:Tac!B7)</f>
        <v>18</v>
      </c>
      <c r="C7" s="64">
        <f>SUM(Oak:Tac!C7)</f>
        <v>22</v>
      </c>
      <c r="D7" s="64">
        <f>SUM(Oak:Tac!D7)</f>
        <v>27</v>
      </c>
      <c r="E7" s="64">
        <f>SUM(Oak:Tac!E7)</f>
        <v>12</v>
      </c>
      <c r="F7" s="1">
        <f t="shared" si="0"/>
        <v>79</v>
      </c>
    </row>
    <row r="8" spans="1:10" x14ac:dyDescent="0.25">
      <c r="A8" s="143" t="s">
        <v>435</v>
      </c>
      <c r="B8" s="64">
        <f>SUM(Oak:Tac!B8)</f>
        <v>24</v>
      </c>
      <c r="C8" s="64">
        <f>SUM(Oak:Tac!C8)</f>
        <v>8</v>
      </c>
      <c r="D8" s="64">
        <f>SUM(Oak:Tac!D8)</f>
        <v>6</v>
      </c>
      <c r="E8" s="64">
        <f>SUM(Oak:Tac!E8)</f>
        <v>28</v>
      </c>
      <c r="F8" s="1">
        <f t="shared" si="0"/>
        <v>66</v>
      </c>
    </row>
    <row r="9" spans="1:10" x14ac:dyDescent="0.25">
      <c r="A9" s="1" t="s">
        <v>404</v>
      </c>
      <c r="B9" s="1">
        <f>SUM(B3:B8)</f>
        <v>136</v>
      </c>
      <c r="C9" s="1">
        <f>SUM(C3:C8)</f>
        <v>132</v>
      </c>
      <c r="D9" s="1">
        <f>SUM(D3:D8)</f>
        <v>95</v>
      </c>
      <c r="E9" s="1">
        <f>SUM(E3:E8)</f>
        <v>111</v>
      </c>
      <c r="F9" s="1">
        <f t="shared" si="0"/>
        <v>474</v>
      </c>
    </row>
    <row r="11" spans="1:10" x14ac:dyDescent="0.25">
      <c r="B11" s="143" t="s">
        <v>220</v>
      </c>
      <c r="C11" s="143" t="s">
        <v>221</v>
      </c>
      <c r="D11" s="143" t="s">
        <v>231</v>
      </c>
      <c r="E11" s="143" t="s">
        <v>259</v>
      </c>
    </row>
    <row r="12" spans="1:10" x14ac:dyDescent="0.25">
      <c r="B12">
        <f>SUM(Oak:Tac!B3:B8)</f>
        <v>136</v>
      </c>
      <c r="C12">
        <f>SUM(Oak:Tac!C3:C8)</f>
        <v>132</v>
      </c>
      <c r="D12">
        <f>SUM(Oak:Tac!D3:D8)</f>
        <v>95</v>
      </c>
      <c r="E12">
        <f>SUM(Oak:Tac!E3:E8)</f>
        <v>111</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9"/>
  <sheetViews>
    <sheetView zoomScale="175" zoomScaleNormal="175" workbookViewId="0">
      <selection activeCell="C21" sqref="C21"/>
    </sheetView>
  </sheetViews>
  <sheetFormatPr defaultRowHeight="15" x14ac:dyDescent="0.25"/>
  <sheetData>
    <row r="1" spans="1:6" ht="18.75" x14ac:dyDescent="0.3">
      <c r="A1" s="142" t="str">
        <f ca="1">REPLACE(CELL("filename",A1),1,FIND("]",CELL("filename",A1)),"")&amp;" Totals"</f>
        <v>Oak Totals</v>
      </c>
      <c r="B1" s="142"/>
      <c r="C1" s="142"/>
      <c r="D1" s="142"/>
      <c r="E1" s="142"/>
      <c r="F1" s="142"/>
    </row>
    <row r="2" spans="1:6" x14ac:dyDescent="0.25">
      <c r="A2" s="3"/>
      <c r="B2" s="143" t="s">
        <v>220</v>
      </c>
      <c r="C2" s="143" t="s">
        <v>221</v>
      </c>
      <c r="D2" s="143" t="s">
        <v>231</v>
      </c>
      <c r="E2" s="143" t="s">
        <v>259</v>
      </c>
      <c r="F2" s="1" t="s">
        <v>404</v>
      </c>
    </row>
    <row r="3" spans="1:6" x14ac:dyDescent="0.25">
      <c r="A3" s="143" t="s">
        <v>430</v>
      </c>
      <c r="B3" s="3">
        <v>14</v>
      </c>
      <c r="C3" s="3">
        <v>8</v>
      </c>
      <c r="D3" s="3">
        <v>0</v>
      </c>
      <c r="E3" s="3">
        <v>1</v>
      </c>
      <c r="F3" s="1">
        <f t="shared" ref="F3:F9" si="0">SUM(B3:E3)</f>
        <v>23</v>
      </c>
    </row>
    <row r="4" spans="1:6" x14ac:dyDescent="0.25">
      <c r="A4" s="143" t="s">
        <v>431</v>
      </c>
      <c r="B4" s="3">
        <v>8</v>
      </c>
      <c r="C4" s="3">
        <v>8</v>
      </c>
      <c r="D4" s="3">
        <v>2</v>
      </c>
      <c r="E4" s="3">
        <v>11</v>
      </c>
      <c r="F4" s="1">
        <f t="shared" si="0"/>
        <v>29</v>
      </c>
    </row>
    <row r="5" spans="1:6" x14ac:dyDescent="0.25">
      <c r="A5" s="143" t="s">
        <v>432</v>
      </c>
      <c r="B5" s="3">
        <v>6</v>
      </c>
      <c r="C5" s="3">
        <v>6</v>
      </c>
      <c r="D5" s="3">
        <v>13</v>
      </c>
      <c r="E5" s="3">
        <v>7</v>
      </c>
      <c r="F5" s="1">
        <f t="shared" si="0"/>
        <v>32</v>
      </c>
    </row>
    <row r="6" spans="1:6" x14ac:dyDescent="0.25">
      <c r="A6" s="143" t="s">
        <v>433</v>
      </c>
      <c r="B6" s="3">
        <v>13</v>
      </c>
      <c r="C6" s="3">
        <v>12</v>
      </c>
      <c r="D6" s="3">
        <v>5</v>
      </c>
      <c r="E6" s="3">
        <v>2</v>
      </c>
      <c r="F6" s="1">
        <f t="shared" si="0"/>
        <v>32</v>
      </c>
    </row>
    <row r="7" spans="1:6" x14ac:dyDescent="0.25">
      <c r="A7" s="143" t="s">
        <v>434</v>
      </c>
      <c r="B7" s="3">
        <v>9</v>
      </c>
      <c r="C7" s="3">
        <v>5</v>
      </c>
      <c r="D7" s="3">
        <v>10</v>
      </c>
      <c r="E7" s="3">
        <v>1</v>
      </c>
      <c r="F7" s="1">
        <f t="shared" si="0"/>
        <v>25</v>
      </c>
    </row>
    <row r="8" spans="1:6" x14ac:dyDescent="0.25">
      <c r="A8" s="143" t="s">
        <v>435</v>
      </c>
      <c r="B8" s="3">
        <v>9</v>
      </c>
      <c r="C8" s="3">
        <v>3</v>
      </c>
      <c r="D8" s="3">
        <v>2</v>
      </c>
      <c r="E8" s="3">
        <v>12</v>
      </c>
      <c r="F8" s="1">
        <f t="shared" si="0"/>
        <v>26</v>
      </c>
    </row>
    <row r="9" spans="1:6" x14ac:dyDescent="0.25">
      <c r="A9" s="1" t="s">
        <v>404</v>
      </c>
      <c r="B9" s="1">
        <f>SUM(B3:B8)</f>
        <v>59</v>
      </c>
      <c r="C9" s="1">
        <f>SUM(C3:C8)</f>
        <v>42</v>
      </c>
      <c r="D9" s="1">
        <f>SUM(D3:D8)</f>
        <v>32</v>
      </c>
      <c r="E9" s="1">
        <f>SUM(E3:E8)</f>
        <v>34</v>
      </c>
      <c r="F9" s="1">
        <f t="shared" si="0"/>
        <v>167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9"/>
  <sheetViews>
    <sheetView zoomScale="175" zoomScaleNormal="175" workbookViewId="0">
      <selection activeCell="C21" sqref="C21"/>
    </sheetView>
  </sheetViews>
  <sheetFormatPr defaultRowHeight="15" x14ac:dyDescent="0.25"/>
  <sheetData>
    <row r="1" spans="1:6" ht="18.75" x14ac:dyDescent="0.3">
      <c r="A1" s="142" t="str">
        <f ca="1">REPLACE(CELL("filename",A1),1,FIND("]",CELL("filename",A1)),"")&amp;" Totals"</f>
        <v>Sea Totals</v>
      </c>
      <c r="B1" s="142"/>
      <c r="C1" s="142"/>
      <c r="D1" s="142"/>
      <c r="E1" s="142"/>
      <c r="F1" s="142"/>
    </row>
    <row r="2" spans="1:6" x14ac:dyDescent="0.25">
      <c r="A2" s="3"/>
      <c r="B2" s="143" t="s">
        <v>220</v>
      </c>
      <c r="C2" s="143" t="s">
        <v>221</v>
      </c>
      <c r="D2" s="143" t="s">
        <v>231</v>
      </c>
      <c r="E2" s="143" t="s">
        <v>259</v>
      </c>
      <c r="F2" s="1" t="s">
        <v>404</v>
      </c>
    </row>
    <row r="3" spans="1:6" x14ac:dyDescent="0.25">
      <c r="A3" s="143" t="s">
        <v>430</v>
      </c>
      <c r="B3" s="3">
        <v>9</v>
      </c>
      <c r="C3" s="3">
        <v>3</v>
      </c>
      <c r="D3" s="3">
        <v>14</v>
      </c>
      <c r="E3" s="3">
        <v>9</v>
      </c>
      <c r="F3" s="1">
        <f t="shared" ref="F3:F9" si="0">SUM(B3:E3)</f>
        <v>35</v>
      </c>
    </row>
    <row r="4" spans="1:6" x14ac:dyDescent="0.25">
      <c r="A4" s="143" t="s">
        <v>431</v>
      </c>
      <c r="B4" s="3">
        <v>0</v>
      </c>
      <c r="C4" s="3">
        <v>8</v>
      </c>
      <c r="D4" s="3">
        <v>13</v>
      </c>
      <c r="E4" s="3">
        <v>2</v>
      </c>
      <c r="F4" s="1">
        <f t="shared" si="0"/>
        <v>23</v>
      </c>
    </row>
    <row r="5" spans="1:6" x14ac:dyDescent="0.25">
      <c r="A5" s="143" t="s">
        <v>432</v>
      </c>
      <c r="B5" s="3">
        <v>13</v>
      </c>
      <c r="C5" s="3">
        <v>7</v>
      </c>
      <c r="D5" s="3">
        <v>2</v>
      </c>
      <c r="E5" s="3">
        <v>7</v>
      </c>
      <c r="F5" s="1">
        <f t="shared" si="0"/>
        <v>29</v>
      </c>
    </row>
    <row r="6" spans="1:6" x14ac:dyDescent="0.25">
      <c r="A6" s="143" t="s">
        <v>433</v>
      </c>
      <c r="B6" s="3">
        <v>1</v>
      </c>
      <c r="C6" s="3">
        <v>13</v>
      </c>
      <c r="D6" s="3">
        <v>3</v>
      </c>
      <c r="E6" s="3">
        <v>5</v>
      </c>
      <c r="F6" s="1">
        <f t="shared" si="0"/>
        <v>22</v>
      </c>
    </row>
    <row r="7" spans="1:6" x14ac:dyDescent="0.25">
      <c r="A7" s="143" t="s">
        <v>434</v>
      </c>
      <c r="B7" s="3">
        <v>3</v>
      </c>
      <c r="C7" s="3">
        <v>12</v>
      </c>
      <c r="D7" s="3">
        <v>10</v>
      </c>
      <c r="E7" s="3">
        <v>11</v>
      </c>
      <c r="F7" s="1">
        <f t="shared" si="0"/>
        <v>36</v>
      </c>
    </row>
    <row r="8" spans="1:6" x14ac:dyDescent="0.25">
      <c r="A8" s="143" t="s">
        <v>435</v>
      </c>
      <c r="B8" s="3">
        <v>3</v>
      </c>
      <c r="C8" s="3">
        <v>0</v>
      </c>
      <c r="D8" s="3">
        <v>2</v>
      </c>
      <c r="E8" s="3">
        <v>11</v>
      </c>
      <c r="F8" s="1">
        <f t="shared" si="0"/>
        <v>16</v>
      </c>
    </row>
    <row r="9" spans="1:6" x14ac:dyDescent="0.25">
      <c r="A9" s="1" t="s">
        <v>404</v>
      </c>
      <c r="B9" s="1">
        <f>SUM(B3:B8)</f>
        <v>29</v>
      </c>
      <c r="C9" s="1">
        <f>SUM(C3:C8)</f>
        <v>43</v>
      </c>
      <c r="D9" s="1">
        <f>SUM(D3:D8)</f>
        <v>44</v>
      </c>
      <c r="E9" s="1">
        <f>SUM(E3:E8)</f>
        <v>45</v>
      </c>
      <c r="F9" s="1">
        <f t="shared" si="0"/>
        <v>161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9"/>
  <sheetViews>
    <sheetView zoomScale="175" zoomScaleNormal="175" workbookViewId="0">
      <selection activeCell="C21" sqref="C21"/>
    </sheetView>
  </sheetViews>
  <sheetFormatPr defaultRowHeight="15" x14ac:dyDescent="0.25"/>
  <sheetData>
    <row r="1" spans="1:6" ht="18.75" x14ac:dyDescent="0.3">
      <c r="A1" s="142" t="str">
        <f ca="1">REPLACE(CELL("filename",A1),1,FIND("]",CELL("filename",A1)),"")&amp;" Totals"</f>
        <v>Tac Totals</v>
      </c>
      <c r="B1" s="142"/>
      <c r="C1" s="142"/>
      <c r="D1" s="142"/>
      <c r="E1" s="142"/>
      <c r="F1" s="142"/>
    </row>
    <row r="2" spans="1:6" x14ac:dyDescent="0.25">
      <c r="A2" s="3"/>
      <c r="B2" s="143" t="s">
        <v>220</v>
      </c>
      <c r="C2" s="143" t="s">
        <v>221</v>
      </c>
      <c r="D2" s="143" t="s">
        <v>231</v>
      </c>
      <c r="E2" s="143" t="s">
        <v>259</v>
      </c>
      <c r="F2" s="1" t="s">
        <v>404</v>
      </c>
    </row>
    <row r="3" spans="1:6" x14ac:dyDescent="0.25">
      <c r="A3" s="143" t="s">
        <v>430</v>
      </c>
      <c r="B3" s="3">
        <v>8</v>
      </c>
      <c r="C3" s="3">
        <v>14</v>
      </c>
      <c r="D3" s="3">
        <v>0</v>
      </c>
      <c r="E3" s="3">
        <v>7</v>
      </c>
      <c r="F3" s="1">
        <f t="shared" ref="F3:F9" si="0">SUM(B3:E3)</f>
        <v>29</v>
      </c>
    </row>
    <row r="4" spans="1:6" x14ac:dyDescent="0.25">
      <c r="A4" s="143" t="s">
        <v>431</v>
      </c>
      <c r="B4" s="3">
        <v>4</v>
      </c>
      <c r="C4" s="3">
        <v>13</v>
      </c>
      <c r="D4" s="3">
        <v>6</v>
      </c>
      <c r="E4" s="3">
        <v>14</v>
      </c>
      <c r="F4" s="1">
        <f t="shared" si="0"/>
        <v>37</v>
      </c>
    </row>
    <row r="5" spans="1:6" x14ac:dyDescent="0.25">
      <c r="A5" s="143" t="s">
        <v>432</v>
      </c>
      <c r="B5" s="3">
        <v>14</v>
      </c>
      <c r="C5" s="3">
        <v>2</v>
      </c>
      <c r="D5" s="3">
        <v>2</v>
      </c>
      <c r="E5" s="3">
        <v>6</v>
      </c>
      <c r="F5" s="1">
        <f t="shared" si="0"/>
        <v>24</v>
      </c>
    </row>
    <row r="6" spans="1:6" x14ac:dyDescent="0.25">
      <c r="A6" s="143" t="s">
        <v>433</v>
      </c>
      <c r="B6" s="3">
        <v>4</v>
      </c>
      <c r="C6" s="3">
        <v>8</v>
      </c>
      <c r="D6" s="3">
        <v>2</v>
      </c>
      <c r="E6" s="3">
        <v>0</v>
      </c>
      <c r="F6" s="1">
        <f t="shared" si="0"/>
        <v>14</v>
      </c>
    </row>
    <row r="7" spans="1:6" x14ac:dyDescent="0.25">
      <c r="A7" s="143" t="s">
        <v>434</v>
      </c>
      <c r="B7" s="3">
        <v>6</v>
      </c>
      <c r="C7" s="3">
        <v>5</v>
      </c>
      <c r="D7" s="3">
        <v>7</v>
      </c>
      <c r="E7" s="3">
        <v>0</v>
      </c>
      <c r="F7" s="1">
        <f t="shared" si="0"/>
        <v>18</v>
      </c>
    </row>
    <row r="8" spans="1:6" x14ac:dyDescent="0.25">
      <c r="A8" s="143" t="s">
        <v>435</v>
      </c>
      <c r="B8" s="3">
        <v>12</v>
      </c>
      <c r="C8" s="3">
        <v>5</v>
      </c>
      <c r="D8" s="3">
        <v>2</v>
      </c>
      <c r="E8" s="3">
        <v>5</v>
      </c>
      <c r="F8" s="1">
        <f t="shared" si="0"/>
        <v>24</v>
      </c>
    </row>
    <row r="9" spans="1:6" x14ac:dyDescent="0.25">
      <c r="A9" s="1" t="s">
        <v>404</v>
      </c>
      <c r="B9" s="1">
        <f>SUM(B3:B8)</f>
        <v>48</v>
      </c>
      <c r="C9" s="1">
        <f>SUM(C3:C8)</f>
        <v>47</v>
      </c>
      <c r="D9" s="1">
        <f>SUM(D3:D8)</f>
        <v>19</v>
      </c>
      <c r="E9" s="1">
        <f>SUM(E3:E8)</f>
        <v>32</v>
      </c>
      <c r="F9" s="1">
        <f t="shared" si="0"/>
        <v>146</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87"/>
  <sheetViews>
    <sheetView zoomScale="115" zoomScaleNormal="115" workbookViewId="0">
      <selection activeCell="A77" sqref="A77:K87"/>
    </sheetView>
  </sheetViews>
  <sheetFormatPr defaultRowHeight="15" x14ac:dyDescent="0.25"/>
  <cols>
    <col min="1" max="1" width="13.42578125" customWidth="1"/>
    <col min="2" max="2" width="15.28515625" customWidth="1"/>
    <col min="3" max="5" width="11" customWidth="1"/>
    <col min="6" max="6" width="13.140625" customWidth="1"/>
    <col min="7" max="7" width="15.5703125" customWidth="1"/>
    <col min="8" max="8" width="11" customWidth="1"/>
    <col min="10" max="10" width="11.28515625" bestFit="1" customWidth="1"/>
    <col min="11" max="11" width="11.42578125" customWidth="1"/>
    <col min="16" max="16" width="10.7109375" bestFit="1" customWidth="1"/>
    <col min="23" max="25" width="11.7109375" customWidth="1"/>
    <col min="29" max="29" width="10.7109375" bestFit="1" customWidth="1"/>
    <col min="30" max="30" width="12.5703125" customWidth="1"/>
    <col min="31" max="31" width="12.42578125" customWidth="1"/>
  </cols>
  <sheetData>
    <row r="1" spans="1:8" x14ac:dyDescent="0.25">
      <c r="A1" s="209" t="s">
        <v>703</v>
      </c>
      <c r="B1" s="210"/>
      <c r="C1" s="210"/>
      <c r="D1" s="210"/>
      <c r="E1" s="210"/>
      <c r="F1" s="210"/>
      <c r="G1" s="210"/>
      <c r="H1" s="159"/>
    </row>
    <row r="2" spans="1:8" x14ac:dyDescent="0.25">
      <c r="A2" s="211" t="s">
        <v>718</v>
      </c>
      <c r="B2" s="212"/>
      <c r="C2" s="212"/>
      <c r="D2" s="212"/>
      <c r="E2" s="212"/>
      <c r="F2" s="212"/>
      <c r="G2" s="212"/>
      <c r="H2" s="213"/>
    </row>
    <row r="3" spans="1:8" x14ac:dyDescent="0.25">
      <c r="A3" s="209" t="s">
        <v>708</v>
      </c>
      <c r="B3" s="210"/>
      <c r="C3" s="210"/>
      <c r="D3" s="210"/>
      <c r="E3" s="210"/>
      <c r="F3" s="210"/>
      <c r="G3" s="210"/>
      <c r="H3" s="159"/>
    </row>
    <row r="4" spans="1:8" x14ac:dyDescent="0.25">
      <c r="A4" s="211" t="s">
        <v>704</v>
      </c>
      <c r="B4" s="212"/>
      <c r="C4" s="212"/>
      <c r="D4" s="212"/>
      <c r="E4" s="212"/>
      <c r="F4" s="212"/>
      <c r="G4" s="212"/>
      <c r="H4" s="213"/>
    </row>
    <row r="5" spans="1:8" x14ac:dyDescent="0.25">
      <c r="A5" s="209" t="s">
        <v>705</v>
      </c>
      <c r="B5" s="210"/>
      <c r="C5" s="210"/>
      <c r="D5" s="210"/>
      <c r="E5" s="210"/>
      <c r="F5" s="210"/>
      <c r="G5" s="210"/>
      <c r="H5" s="159"/>
    </row>
    <row r="6" spans="1:8" x14ac:dyDescent="0.25">
      <c r="A6" s="211" t="s">
        <v>706</v>
      </c>
      <c r="B6" s="212"/>
      <c r="C6" s="212"/>
      <c r="D6" s="212"/>
      <c r="E6" s="212"/>
      <c r="F6" s="212"/>
      <c r="G6" s="212"/>
      <c r="H6" s="213"/>
    </row>
    <row r="7" spans="1:8" x14ac:dyDescent="0.25">
      <c r="A7" s="209" t="s">
        <v>707</v>
      </c>
      <c r="B7" s="210"/>
      <c r="C7" s="210"/>
      <c r="D7" s="210"/>
      <c r="E7" s="210"/>
      <c r="F7" s="210"/>
      <c r="G7" s="210"/>
      <c r="H7" s="159"/>
    </row>
    <row r="8" spans="1:8" x14ac:dyDescent="0.25">
      <c r="A8" s="211" t="s">
        <v>710</v>
      </c>
      <c r="B8" s="212"/>
      <c r="C8" s="212"/>
      <c r="D8" s="212"/>
      <c r="E8" s="212"/>
      <c r="F8" s="212"/>
      <c r="G8" s="212"/>
      <c r="H8" s="213"/>
    </row>
    <row r="9" spans="1:8" x14ac:dyDescent="0.25">
      <c r="A9" s="217" t="s">
        <v>711</v>
      </c>
      <c r="B9" s="210"/>
      <c r="C9" s="210"/>
      <c r="D9" s="210"/>
      <c r="E9" s="210"/>
      <c r="F9" s="210"/>
      <c r="G9" s="210"/>
      <c r="H9" s="159"/>
    </row>
    <row r="10" spans="1:8" x14ac:dyDescent="0.25">
      <c r="A10" s="218" t="s">
        <v>712</v>
      </c>
      <c r="B10" s="212"/>
      <c r="C10" s="212"/>
      <c r="D10" s="212"/>
      <c r="E10" s="212"/>
      <c r="F10" s="212"/>
      <c r="G10" s="212"/>
      <c r="H10" s="213"/>
    </row>
    <row r="11" spans="1:8" x14ac:dyDescent="0.25">
      <c r="A11" s="217" t="s">
        <v>713</v>
      </c>
      <c r="B11" s="210"/>
      <c r="C11" s="210"/>
      <c r="D11" s="210"/>
      <c r="E11" s="210"/>
      <c r="F11" s="210"/>
      <c r="G11" s="210"/>
      <c r="H11" s="159"/>
    </row>
    <row r="12" spans="1:8" x14ac:dyDescent="0.25">
      <c r="A12" s="218" t="s">
        <v>714</v>
      </c>
      <c r="B12" s="212"/>
      <c r="C12" s="212"/>
      <c r="D12" s="212"/>
      <c r="E12" s="212"/>
      <c r="F12" s="212"/>
      <c r="G12" s="212"/>
      <c r="H12" s="213"/>
    </row>
    <row r="13" spans="1:8" x14ac:dyDescent="0.25">
      <c r="A13" s="209" t="s">
        <v>717</v>
      </c>
      <c r="B13" s="210"/>
      <c r="C13" s="210"/>
      <c r="D13" s="210"/>
      <c r="E13" s="210"/>
      <c r="F13" s="210"/>
      <c r="G13" s="210"/>
      <c r="H13" s="159"/>
    </row>
    <row r="14" spans="1:8" x14ac:dyDescent="0.25">
      <c r="A14" s="218" t="s">
        <v>715</v>
      </c>
      <c r="B14" s="212"/>
      <c r="C14" s="212"/>
      <c r="D14" s="212"/>
      <c r="E14" s="212"/>
      <c r="F14" s="212"/>
      <c r="G14" s="212"/>
      <c r="H14" s="213"/>
    </row>
    <row r="15" spans="1:8" x14ac:dyDescent="0.25">
      <c r="A15" s="217" t="s">
        <v>725</v>
      </c>
      <c r="B15" s="210"/>
      <c r="C15" s="210"/>
      <c r="D15" s="210"/>
      <c r="E15" s="210"/>
      <c r="F15" s="210"/>
      <c r="G15" s="210"/>
      <c r="H15" s="159"/>
    </row>
    <row r="16" spans="1:8" x14ac:dyDescent="0.25">
      <c r="A16" s="218" t="s">
        <v>716</v>
      </c>
      <c r="B16" s="212"/>
      <c r="C16" s="212"/>
      <c r="D16" s="212"/>
      <c r="E16" s="212"/>
      <c r="F16" s="212"/>
      <c r="G16" s="212"/>
      <c r="H16" s="213"/>
    </row>
    <row r="17" spans="1:8" x14ac:dyDescent="0.25">
      <c r="A17" s="217" t="s">
        <v>722</v>
      </c>
      <c r="B17" s="210"/>
      <c r="C17" s="210"/>
      <c r="D17" s="210"/>
      <c r="E17" s="210"/>
      <c r="F17" s="210"/>
      <c r="G17" s="210"/>
      <c r="H17" s="159"/>
    </row>
    <row r="18" spans="1:8" x14ac:dyDescent="0.25">
      <c r="A18" s="218" t="s">
        <v>724</v>
      </c>
      <c r="B18" s="212"/>
      <c r="C18" s="212"/>
      <c r="D18" s="212"/>
      <c r="E18" s="212"/>
      <c r="F18" s="212"/>
      <c r="G18" s="212"/>
      <c r="H18" s="213"/>
    </row>
    <row r="19" spans="1:8" x14ac:dyDescent="0.25">
      <c r="A19" s="217" t="s">
        <v>723</v>
      </c>
      <c r="B19" s="210"/>
      <c r="C19" s="210"/>
      <c r="D19" s="210"/>
      <c r="E19" s="210"/>
      <c r="F19" s="210"/>
      <c r="G19" s="210"/>
      <c r="H19" s="159"/>
    </row>
    <row r="22" spans="1:8" x14ac:dyDescent="0.25">
      <c r="A22" s="45"/>
    </row>
    <row r="23" spans="1:8" x14ac:dyDescent="0.25">
      <c r="A23" s="209" t="s">
        <v>703</v>
      </c>
      <c r="B23" s="210"/>
      <c r="C23" s="210"/>
      <c r="D23" s="210"/>
      <c r="E23" s="210"/>
      <c r="F23" s="210"/>
      <c r="G23" s="210"/>
      <c r="H23" s="159"/>
    </row>
    <row r="24" spans="1:8" x14ac:dyDescent="0.25">
      <c r="A24" s="211" t="s">
        <v>718</v>
      </c>
      <c r="B24" s="212"/>
      <c r="C24" s="212"/>
      <c r="D24" s="212"/>
      <c r="E24" s="212"/>
      <c r="F24" s="212"/>
      <c r="G24" s="212"/>
      <c r="H24" s="213"/>
    </row>
    <row r="25" spans="1:8" x14ac:dyDescent="0.25">
      <c r="A25" s="209" t="s">
        <v>708</v>
      </c>
      <c r="B25" s="210"/>
      <c r="C25" s="210"/>
      <c r="D25" s="210"/>
      <c r="E25" s="210"/>
      <c r="F25" s="210"/>
      <c r="G25" s="210"/>
      <c r="H25" s="159"/>
    </row>
    <row r="26" spans="1:8" x14ac:dyDescent="0.25">
      <c r="A26" s="211" t="s">
        <v>704</v>
      </c>
      <c r="B26" s="212"/>
      <c r="C26" s="212"/>
      <c r="D26" s="212"/>
      <c r="E26" s="212"/>
      <c r="F26" s="212"/>
      <c r="G26" s="212"/>
      <c r="H26" s="213"/>
    </row>
    <row r="27" spans="1:8" x14ac:dyDescent="0.25">
      <c r="A27" s="209" t="s">
        <v>705</v>
      </c>
      <c r="B27" s="210"/>
      <c r="C27" s="210"/>
      <c r="D27" s="210"/>
      <c r="E27" s="210"/>
      <c r="F27" s="210"/>
      <c r="G27" s="210"/>
      <c r="H27" s="159"/>
    </row>
    <row r="28" spans="1:8" x14ac:dyDescent="0.25">
      <c r="A28" s="211" t="s">
        <v>706</v>
      </c>
      <c r="B28" s="212"/>
      <c r="C28" s="212"/>
      <c r="D28" s="212"/>
      <c r="E28" s="212"/>
      <c r="F28" s="212"/>
      <c r="G28" s="212"/>
      <c r="H28" s="213"/>
    </row>
    <row r="29" spans="1:8" x14ac:dyDescent="0.25">
      <c r="A29" s="209" t="s">
        <v>707</v>
      </c>
      <c r="B29" s="210"/>
      <c r="C29" s="210"/>
      <c r="D29" s="210"/>
      <c r="E29" s="210"/>
      <c r="F29" s="210"/>
      <c r="G29" s="210"/>
      <c r="H29" s="159"/>
    </row>
    <row r="31" spans="1:8" x14ac:dyDescent="0.25">
      <c r="A31" s="5" t="s">
        <v>103</v>
      </c>
      <c r="B31" s="5" t="s">
        <v>693</v>
      </c>
      <c r="C31" s="5" t="s">
        <v>699</v>
      </c>
      <c r="D31" s="5" t="s">
        <v>694</v>
      </c>
      <c r="E31" s="5" t="s">
        <v>733</v>
      </c>
      <c r="F31" s="5" t="s">
        <v>709</v>
      </c>
      <c r="G31" s="5" t="s">
        <v>695</v>
      </c>
    </row>
    <row r="32" spans="1:8" x14ac:dyDescent="0.25">
      <c r="A32" s="214">
        <v>41552</v>
      </c>
      <c r="B32" s="215" t="s">
        <v>696</v>
      </c>
      <c r="C32" s="215" t="s">
        <v>700</v>
      </c>
      <c r="D32" s="215" t="s">
        <v>697</v>
      </c>
      <c r="E32" s="215">
        <v>48.1</v>
      </c>
      <c r="F32" s="216">
        <v>10</v>
      </c>
      <c r="G32" s="215">
        <v>3</v>
      </c>
    </row>
    <row r="33" spans="1:8" x14ac:dyDescent="0.25">
      <c r="A33" s="214">
        <v>41552</v>
      </c>
      <c r="B33" s="215" t="s">
        <v>698</v>
      </c>
      <c r="C33" s="215" t="s">
        <v>701</v>
      </c>
      <c r="D33" s="215" t="s">
        <v>697</v>
      </c>
      <c r="E33" s="215">
        <v>40.700000000000003</v>
      </c>
      <c r="F33" s="216">
        <v>10</v>
      </c>
      <c r="G33" s="215">
        <v>2</v>
      </c>
    </row>
    <row r="34" spans="1:8" x14ac:dyDescent="0.25">
      <c r="A34" s="214">
        <v>41546</v>
      </c>
      <c r="B34" s="215" t="s">
        <v>696</v>
      </c>
      <c r="C34" s="215" t="s">
        <v>700</v>
      </c>
      <c r="D34" s="215" t="s">
        <v>702</v>
      </c>
      <c r="E34" s="215">
        <v>54.5</v>
      </c>
      <c r="F34" s="216">
        <v>30</v>
      </c>
      <c r="G34" s="215">
        <v>4</v>
      </c>
    </row>
    <row r="35" spans="1:8" x14ac:dyDescent="0.25">
      <c r="A35" s="214">
        <v>41546</v>
      </c>
      <c r="B35" s="215" t="s">
        <v>698</v>
      </c>
      <c r="C35" s="215" t="s">
        <v>701</v>
      </c>
      <c r="D35" s="215" t="s">
        <v>702</v>
      </c>
      <c r="E35" s="215">
        <v>49.1</v>
      </c>
      <c r="F35" s="216">
        <v>30</v>
      </c>
      <c r="G35" s="215">
        <v>1</v>
      </c>
    </row>
    <row r="36" spans="1:8" x14ac:dyDescent="0.25">
      <c r="A36" s="214">
        <v>41538</v>
      </c>
      <c r="B36" s="215" t="s">
        <v>696</v>
      </c>
      <c r="C36" s="215" t="s">
        <v>700</v>
      </c>
      <c r="D36" s="215" t="s">
        <v>697</v>
      </c>
      <c r="E36" s="215">
        <v>49.5</v>
      </c>
      <c r="F36" s="216">
        <v>10</v>
      </c>
      <c r="G36" s="215">
        <v>2</v>
      </c>
    </row>
    <row r="37" spans="1:8" x14ac:dyDescent="0.25">
      <c r="A37" s="214">
        <v>41538</v>
      </c>
      <c r="B37" s="215" t="s">
        <v>698</v>
      </c>
      <c r="C37" s="215" t="s">
        <v>701</v>
      </c>
      <c r="D37" s="215" t="s">
        <v>697</v>
      </c>
      <c r="E37" s="215">
        <v>39.5</v>
      </c>
      <c r="F37" s="216">
        <v>10</v>
      </c>
      <c r="G37" s="215">
        <v>3</v>
      </c>
    </row>
    <row r="46" spans="1:8" x14ac:dyDescent="0.25">
      <c r="A46" s="211" t="s">
        <v>710</v>
      </c>
      <c r="B46" s="212"/>
      <c r="C46" s="212"/>
      <c r="D46" s="212"/>
      <c r="E46" s="212"/>
      <c r="F46" s="212"/>
      <c r="G46" s="212"/>
      <c r="H46" s="213"/>
    </row>
    <row r="47" spans="1:8" x14ac:dyDescent="0.25">
      <c r="A47" s="217" t="s">
        <v>711</v>
      </c>
      <c r="B47" s="210"/>
      <c r="C47" s="210"/>
      <c r="D47" s="210"/>
      <c r="E47" s="210"/>
      <c r="F47" s="210"/>
      <c r="G47" s="210"/>
      <c r="H47" s="159"/>
    </row>
    <row r="48" spans="1:8" x14ac:dyDescent="0.25">
      <c r="A48" s="218" t="s">
        <v>712</v>
      </c>
      <c r="B48" s="212"/>
      <c r="C48" s="212"/>
      <c r="D48" s="212"/>
      <c r="E48" s="212"/>
      <c r="F48" s="212"/>
      <c r="G48" s="212"/>
      <c r="H48" s="213"/>
    </row>
    <row r="49" spans="1:8" x14ac:dyDescent="0.25">
      <c r="A49" s="217" t="s">
        <v>713</v>
      </c>
      <c r="B49" s="210"/>
      <c r="C49" s="210"/>
      <c r="D49" s="210"/>
      <c r="E49" s="210"/>
      <c r="F49" s="210"/>
      <c r="G49" s="210"/>
      <c r="H49" s="159"/>
    </row>
    <row r="50" spans="1:8" x14ac:dyDescent="0.25">
      <c r="A50" s="218" t="s">
        <v>714</v>
      </c>
      <c r="B50" s="212"/>
      <c r="C50" s="212"/>
      <c r="D50" s="212"/>
      <c r="E50" s="212"/>
      <c r="F50" s="212"/>
      <c r="G50" s="212"/>
      <c r="H50" s="213"/>
    </row>
    <row r="53" spans="1:8" x14ac:dyDescent="0.25">
      <c r="A53" s="5" t="s">
        <v>129</v>
      </c>
      <c r="B53" s="5" t="s">
        <v>740</v>
      </c>
      <c r="C53" s="5" t="s">
        <v>742</v>
      </c>
      <c r="D53" s="5" t="s">
        <v>741</v>
      </c>
      <c r="F53" s="1" t="s">
        <v>740</v>
      </c>
      <c r="G53" s="1" t="s">
        <v>741</v>
      </c>
    </row>
    <row r="54" spans="1:8" x14ac:dyDescent="0.25">
      <c r="A54" s="215" t="str">
        <f>1000+ROWS(INDEX($A$54:$A$60,1):A54)&amp;UPPER(LEFT(B54,3))&amp;"-"&amp;C54</f>
        <v>1001BEL-GB</v>
      </c>
      <c r="B54" s="215" t="s">
        <v>373</v>
      </c>
      <c r="C54" s="215" t="s">
        <v>743</v>
      </c>
      <c r="D54" s="216">
        <v>26</v>
      </c>
      <c r="F54" s="3"/>
      <c r="G54" s="64"/>
    </row>
    <row r="55" spans="1:8" x14ac:dyDescent="0.25">
      <c r="A55" s="215" t="str">
        <f>1000+ROWS(INDEX($A$54:$A$60,1):A55)&amp;UPPER(LEFT(B55,3))&amp;"-"&amp;C55</f>
        <v>1002CAR-CR</v>
      </c>
      <c r="B55" s="215" t="s">
        <v>367</v>
      </c>
      <c r="C55" s="215" t="s">
        <v>419</v>
      </c>
      <c r="D55" s="216">
        <v>24.95</v>
      </c>
    </row>
    <row r="56" spans="1:8" x14ac:dyDescent="0.25">
      <c r="A56" s="215" t="str">
        <f>1000+ROWS(INDEX($A$54:$A$60,1):A56)&amp;UPPER(LEFT(B56,3))&amp;"-"&amp;C56</f>
        <v>1003QUA-TF</v>
      </c>
      <c r="B56" s="215" t="s">
        <v>371</v>
      </c>
      <c r="C56" s="215" t="s">
        <v>744</v>
      </c>
      <c r="D56" s="216">
        <v>37.5</v>
      </c>
    </row>
    <row r="57" spans="1:8" x14ac:dyDescent="0.25">
      <c r="A57" s="215" t="str">
        <f>1000+ROWS(INDEX($A$54:$A$60,1):A57)&amp;UPPER(LEFT(B57,3))&amp;"-"&amp;C57</f>
        <v>1004SUN-GB</v>
      </c>
      <c r="B57" s="215" t="s">
        <v>363</v>
      </c>
      <c r="C57" s="215" t="s">
        <v>743</v>
      </c>
      <c r="D57" s="216">
        <v>19</v>
      </c>
    </row>
    <row r="58" spans="1:8" x14ac:dyDescent="0.25">
      <c r="A58" s="215" t="str">
        <f>1000+ROWS(INDEX($A$54:$A$60,1):A58)&amp;UPPER(LEFT(B58,3))&amp;"-"&amp;C58</f>
        <v>1005SUN-GB</v>
      </c>
      <c r="B58" s="215" t="s">
        <v>369</v>
      </c>
      <c r="C58" s="215" t="s">
        <v>743</v>
      </c>
      <c r="D58" s="216">
        <v>23</v>
      </c>
    </row>
    <row r="59" spans="1:8" x14ac:dyDescent="0.25">
      <c r="A59" s="215" t="str">
        <f>1000+ROWS(INDEX($A$54:$A$60,1):A59)&amp;UPPER(LEFT(B59,3))&amp;"-"&amp;C59</f>
        <v>1006BEA-TF</v>
      </c>
      <c r="B59" s="215" t="s">
        <v>745</v>
      </c>
      <c r="C59" s="215" t="s">
        <v>744</v>
      </c>
      <c r="D59" s="216">
        <v>28</v>
      </c>
    </row>
    <row r="60" spans="1:8" x14ac:dyDescent="0.25">
      <c r="A60" s="215" t="str">
        <f>1000+ROWS(INDEX($A$54:$A$60,1):A60)&amp;UPPER(LEFT(B60,3))&amp;"-"&amp;C60</f>
        <v>1007YAN-CR</v>
      </c>
      <c r="B60" s="215" t="s">
        <v>746</v>
      </c>
      <c r="C60" s="215" t="s">
        <v>419</v>
      </c>
      <c r="D60" s="216">
        <v>22</v>
      </c>
    </row>
    <row r="69" spans="1:11" x14ac:dyDescent="0.25">
      <c r="A69" s="209" t="s">
        <v>717</v>
      </c>
      <c r="B69" s="210"/>
      <c r="C69" s="210"/>
      <c r="D69" s="210"/>
      <c r="E69" s="210"/>
      <c r="F69" s="210"/>
      <c r="G69" s="210"/>
      <c r="H69" s="159"/>
    </row>
    <row r="70" spans="1:11" x14ac:dyDescent="0.25">
      <c r="A70" s="218" t="s">
        <v>715</v>
      </c>
      <c r="B70" s="212"/>
      <c r="C70" s="212"/>
      <c r="D70" s="212"/>
      <c r="E70" s="212"/>
      <c r="F70" s="212"/>
      <c r="G70" s="212"/>
      <c r="H70" s="213"/>
    </row>
    <row r="71" spans="1:11" x14ac:dyDescent="0.25">
      <c r="A71" s="217" t="s">
        <v>725</v>
      </c>
      <c r="B71" s="210"/>
      <c r="C71" s="210"/>
      <c r="D71" s="210"/>
      <c r="E71" s="210"/>
      <c r="F71" s="210"/>
      <c r="G71" s="210"/>
      <c r="H71" s="159"/>
    </row>
    <row r="72" spans="1:11" x14ac:dyDescent="0.25">
      <c r="A72" s="218" t="s">
        <v>716</v>
      </c>
      <c r="B72" s="212"/>
      <c r="C72" s="212"/>
      <c r="D72" s="212"/>
      <c r="E72" s="212"/>
      <c r="F72" s="212"/>
      <c r="G72" s="212"/>
      <c r="H72" s="213"/>
    </row>
    <row r="73" spans="1:11" x14ac:dyDescent="0.25">
      <c r="A73" s="217" t="s">
        <v>722</v>
      </c>
      <c r="B73" s="210"/>
      <c r="C73" s="210"/>
      <c r="D73" s="210"/>
      <c r="E73" s="210"/>
      <c r="F73" s="210"/>
      <c r="G73" s="210"/>
      <c r="H73" s="159"/>
    </row>
    <row r="74" spans="1:11" x14ac:dyDescent="0.25">
      <c r="A74" s="218" t="s">
        <v>724</v>
      </c>
      <c r="B74" s="212"/>
      <c r="C74" s="212"/>
      <c r="D74" s="212"/>
      <c r="E74" s="212"/>
      <c r="F74" s="212"/>
      <c r="G74" s="212"/>
      <c r="H74" s="213"/>
    </row>
    <row r="75" spans="1:11" x14ac:dyDescent="0.25">
      <c r="A75" s="217" t="s">
        <v>723</v>
      </c>
      <c r="B75" s="210"/>
      <c r="C75" s="210"/>
      <c r="D75" s="210"/>
      <c r="E75" s="210"/>
      <c r="F75" s="210"/>
      <c r="G75" s="210"/>
      <c r="H75" s="159"/>
    </row>
    <row r="78" spans="1:11" x14ac:dyDescent="0.25">
      <c r="A78" s="5" t="s">
        <v>726</v>
      </c>
      <c r="B78" s="5" t="s">
        <v>103</v>
      </c>
      <c r="C78" s="5" t="s">
        <v>538</v>
      </c>
      <c r="D78" s="5" t="s">
        <v>727</v>
      </c>
      <c r="E78" s="5" t="s">
        <v>407</v>
      </c>
      <c r="H78" s="1" t="s">
        <v>734</v>
      </c>
      <c r="I78" s="110" t="s">
        <v>729</v>
      </c>
      <c r="J78" s="110" t="s">
        <v>730</v>
      </c>
      <c r="K78" s="110" t="s">
        <v>731</v>
      </c>
    </row>
    <row r="79" spans="1:11" x14ac:dyDescent="0.25">
      <c r="A79" t="s">
        <v>728</v>
      </c>
      <c r="B79" s="214">
        <v>41478</v>
      </c>
      <c r="C79">
        <v>10590</v>
      </c>
      <c r="D79" t="s">
        <v>729</v>
      </c>
      <c r="E79" s="184">
        <v>36.799999999999997</v>
      </c>
      <c r="H79" s="3" t="s">
        <v>732</v>
      </c>
      <c r="I79" s="219"/>
      <c r="J79" s="219"/>
      <c r="K79" s="219"/>
    </row>
    <row r="80" spans="1:11" x14ac:dyDescent="0.25">
      <c r="A80" t="s">
        <v>728</v>
      </c>
      <c r="B80" s="214">
        <v>41478</v>
      </c>
      <c r="C80">
        <v>10590</v>
      </c>
      <c r="D80" t="s">
        <v>730</v>
      </c>
      <c r="E80" s="184">
        <v>22</v>
      </c>
      <c r="H80" s="3" t="s">
        <v>735</v>
      </c>
      <c r="I80" s="219"/>
      <c r="J80" s="219"/>
      <c r="K80" s="219"/>
    </row>
    <row r="81" spans="1:11" x14ac:dyDescent="0.25">
      <c r="A81" t="s">
        <v>728</v>
      </c>
      <c r="B81" s="214">
        <v>41478</v>
      </c>
      <c r="C81">
        <v>10590</v>
      </c>
      <c r="D81" t="s">
        <v>730</v>
      </c>
      <c r="E81" s="184">
        <v>150</v>
      </c>
      <c r="H81" s="3" t="s">
        <v>736</v>
      </c>
      <c r="I81" s="219"/>
      <c r="J81" s="219"/>
      <c r="K81" s="219"/>
    </row>
    <row r="82" spans="1:11" x14ac:dyDescent="0.25">
      <c r="A82" t="s">
        <v>728</v>
      </c>
      <c r="B82" s="214">
        <v>41478</v>
      </c>
      <c r="C82">
        <v>10590</v>
      </c>
      <c r="D82" t="s">
        <v>731</v>
      </c>
      <c r="E82" s="184">
        <v>320</v>
      </c>
      <c r="H82" s="3" t="s">
        <v>737</v>
      </c>
      <c r="I82" s="219"/>
      <c r="J82" s="219"/>
      <c r="K82" s="219"/>
    </row>
    <row r="83" spans="1:11" x14ac:dyDescent="0.25">
      <c r="A83" t="s">
        <v>728</v>
      </c>
      <c r="B83" s="214">
        <v>41478</v>
      </c>
      <c r="C83">
        <v>10590</v>
      </c>
      <c r="D83" t="s">
        <v>729</v>
      </c>
      <c r="E83" s="184">
        <v>6.3</v>
      </c>
      <c r="H83" s="3" t="s">
        <v>738</v>
      </c>
      <c r="I83" s="219"/>
      <c r="J83" s="219"/>
      <c r="K83" s="219"/>
    </row>
    <row r="84" spans="1:11" x14ac:dyDescent="0.25">
      <c r="A84" t="s">
        <v>732</v>
      </c>
      <c r="B84" s="214">
        <v>41478</v>
      </c>
      <c r="C84">
        <v>10591</v>
      </c>
      <c r="D84" t="s">
        <v>729</v>
      </c>
      <c r="E84" s="184">
        <v>17.8</v>
      </c>
      <c r="H84" s="3" t="s">
        <v>728</v>
      </c>
      <c r="I84" s="219"/>
      <c r="J84" s="219"/>
      <c r="K84" s="219"/>
    </row>
    <row r="85" spans="1:11" x14ac:dyDescent="0.25">
      <c r="A85" t="s">
        <v>732</v>
      </c>
      <c r="B85" s="214">
        <v>41478</v>
      </c>
      <c r="C85">
        <v>10591</v>
      </c>
      <c r="D85" t="s">
        <v>730</v>
      </c>
      <c r="E85" s="184">
        <v>25</v>
      </c>
      <c r="H85" s="3" t="s">
        <v>739</v>
      </c>
      <c r="I85" s="219"/>
      <c r="J85" s="219"/>
      <c r="K85" s="219"/>
    </row>
    <row r="86" spans="1:11" x14ac:dyDescent="0.25">
      <c r="A86" t="s">
        <v>732</v>
      </c>
      <c r="B86" s="214">
        <v>41478</v>
      </c>
      <c r="C86">
        <v>10591</v>
      </c>
      <c r="D86" t="s">
        <v>730</v>
      </c>
      <c r="E86" s="184">
        <v>32.5</v>
      </c>
    </row>
    <row r="87" spans="1:11" x14ac:dyDescent="0.25">
      <c r="A87" t="s">
        <v>732</v>
      </c>
      <c r="B87" s="214">
        <v>41478</v>
      </c>
      <c r="C87">
        <v>10591</v>
      </c>
      <c r="D87" t="s">
        <v>731</v>
      </c>
      <c r="E87" s="184">
        <v>96</v>
      </c>
    </row>
  </sheetData>
  <pageMargins left="0.7" right="0.7" top="0.75" bottom="0.75" header="0.3" footer="0.3"/>
  <pageSetup scale="16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0"/>
  <sheetViews>
    <sheetView workbookViewId="0">
      <selection activeCell="A77" sqref="A77:K87"/>
    </sheetView>
  </sheetViews>
  <sheetFormatPr defaultRowHeight="15" x14ac:dyDescent="0.25"/>
  <cols>
    <col min="1" max="8" width="11" customWidth="1"/>
    <col min="11" max="11" width="11.42578125" customWidth="1"/>
  </cols>
  <sheetData>
    <row r="1" spans="1:8" x14ac:dyDescent="0.25">
      <c r="A1" s="209" t="s">
        <v>703</v>
      </c>
      <c r="B1" s="210"/>
      <c r="C1" s="210"/>
      <c r="D1" s="210"/>
      <c r="E1" s="210"/>
      <c r="F1" s="210"/>
      <c r="G1" s="210"/>
      <c r="H1" s="159"/>
    </row>
    <row r="2" spans="1:8" x14ac:dyDescent="0.25">
      <c r="A2" s="211" t="s">
        <v>718</v>
      </c>
      <c r="B2" s="212"/>
      <c r="C2" s="212"/>
      <c r="D2" s="212"/>
      <c r="E2" s="212"/>
      <c r="F2" s="212"/>
      <c r="G2" s="212"/>
      <c r="H2" s="213"/>
    </row>
    <row r="3" spans="1:8" x14ac:dyDescent="0.25">
      <c r="A3" s="209" t="s">
        <v>708</v>
      </c>
      <c r="B3" s="210"/>
      <c r="C3" s="210"/>
      <c r="D3" s="210"/>
      <c r="E3" s="210"/>
      <c r="F3" s="210"/>
      <c r="G3" s="210"/>
      <c r="H3" s="159"/>
    </row>
    <row r="4" spans="1:8" x14ac:dyDescent="0.25">
      <c r="A4" s="211" t="s">
        <v>704</v>
      </c>
      <c r="B4" s="212"/>
      <c r="C4" s="212"/>
      <c r="D4" s="212"/>
      <c r="E4" s="212"/>
      <c r="F4" s="212"/>
      <c r="G4" s="212"/>
      <c r="H4" s="213"/>
    </row>
    <row r="5" spans="1:8" x14ac:dyDescent="0.25">
      <c r="A5" s="209" t="s">
        <v>705</v>
      </c>
      <c r="B5" s="210"/>
      <c r="C5" s="210"/>
      <c r="D5" s="210"/>
      <c r="E5" s="210"/>
      <c r="F5" s="210"/>
      <c r="G5" s="210"/>
      <c r="H5" s="159"/>
    </row>
    <row r="6" spans="1:8" x14ac:dyDescent="0.25">
      <c r="A6" s="211" t="s">
        <v>706</v>
      </c>
      <c r="B6" s="212"/>
      <c r="C6" s="212"/>
      <c r="D6" s="212"/>
      <c r="E6" s="212"/>
      <c r="F6" s="212"/>
      <c r="G6" s="212"/>
      <c r="H6" s="213"/>
    </row>
    <row r="7" spans="1:8" x14ac:dyDescent="0.25">
      <c r="A7" s="209" t="s">
        <v>707</v>
      </c>
      <c r="B7" s="210"/>
      <c r="C7" s="210"/>
      <c r="D7" s="210"/>
      <c r="E7" s="210"/>
      <c r="F7" s="210"/>
      <c r="G7" s="210"/>
      <c r="H7" s="159"/>
    </row>
    <row r="8" spans="1:8" x14ac:dyDescent="0.25">
      <c r="A8" s="211" t="s">
        <v>710</v>
      </c>
      <c r="B8" s="212"/>
      <c r="C8" s="212"/>
      <c r="D8" s="212"/>
      <c r="E8" s="212"/>
      <c r="F8" s="212"/>
      <c r="G8" s="212"/>
      <c r="H8" s="213"/>
    </row>
    <row r="9" spans="1:8" x14ac:dyDescent="0.25">
      <c r="A9" s="217" t="s">
        <v>711</v>
      </c>
      <c r="B9" s="210"/>
      <c r="C9" s="210"/>
      <c r="D9" s="210"/>
      <c r="E9" s="210"/>
      <c r="F9" s="210"/>
      <c r="G9" s="210"/>
      <c r="H9" s="159"/>
    </row>
    <row r="10" spans="1:8" x14ac:dyDescent="0.25">
      <c r="A10" s="218" t="s">
        <v>712</v>
      </c>
      <c r="B10" s="212"/>
      <c r="C10" s="212"/>
      <c r="D10" s="212"/>
      <c r="E10" s="212"/>
      <c r="F10" s="212"/>
      <c r="G10" s="212"/>
      <c r="H10" s="213"/>
    </row>
    <row r="11" spans="1:8" x14ac:dyDescent="0.25">
      <c r="A11" s="217" t="s">
        <v>713</v>
      </c>
      <c r="B11" s="210"/>
      <c r="C11" s="210"/>
      <c r="D11" s="210"/>
      <c r="E11" s="210"/>
      <c r="F11" s="210"/>
      <c r="G11" s="210"/>
      <c r="H11" s="159"/>
    </row>
    <row r="12" spans="1:8" x14ac:dyDescent="0.25">
      <c r="A12" s="218" t="s">
        <v>714</v>
      </c>
      <c r="B12" s="212"/>
      <c r="C12" s="212"/>
      <c r="D12" s="212"/>
      <c r="E12" s="212"/>
      <c r="F12" s="212"/>
      <c r="G12" s="212"/>
      <c r="H12" s="213"/>
    </row>
    <row r="13" spans="1:8" x14ac:dyDescent="0.25">
      <c r="A13" s="209" t="s">
        <v>717</v>
      </c>
      <c r="B13" s="210"/>
      <c r="C13" s="210"/>
      <c r="D13" s="210"/>
      <c r="E13" s="210"/>
      <c r="F13" s="210"/>
      <c r="G13" s="210"/>
      <c r="H13" s="159"/>
    </row>
    <row r="14" spans="1:8" x14ac:dyDescent="0.25">
      <c r="A14" s="218" t="s">
        <v>715</v>
      </c>
      <c r="B14" s="212"/>
      <c r="C14" s="212"/>
      <c r="D14" s="212"/>
      <c r="E14" s="212"/>
      <c r="F14" s="212"/>
      <c r="G14" s="212"/>
      <c r="H14" s="213"/>
    </row>
    <row r="15" spans="1:8" x14ac:dyDescent="0.25">
      <c r="A15" s="217" t="s">
        <v>725</v>
      </c>
      <c r="B15" s="210"/>
      <c r="C15" s="210"/>
      <c r="D15" s="210"/>
      <c r="E15" s="210"/>
      <c r="F15" s="210"/>
      <c r="G15" s="210"/>
      <c r="H15" s="159"/>
    </row>
    <row r="16" spans="1:8" x14ac:dyDescent="0.25">
      <c r="A16" s="218" t="s">
        <v>716</v>
      </c>
      <c r="B16" s="212"/>
      <c r="C16" s="212"/>
      <c r="D16" s="212"/>
      <c r="E16" s="212"/>
      <c r="F16" s="212"/>
      <c r="G16" s="212"/>
      <c r="H16" s="213"/>
    </row>
    <row r="17" spans="1:8" x14ac:dyDescent="0.25">
      <c r="A17" s="217" t="s">
        <v>722</v>
      </c>
      <c r="B17" s="210"/>
      <c r="C17" s="210"/>
      <c r="D17" s="210"/>
      <c r="E17" s="210"/>
      <c r="F17" s="210"/>
      <c r="G17" s="210"/>
      <c r="H17" s="159"/>
    </row>
    <row r="18" spans="1:8" x14ac:dyDescent="0.25">
      <c r="A18" s="218" t="s">
        <v>724</v>
      </c>
      <c r="B18" s="212"/>
      <c r="C18" s="212"/>
      <c r="D18" s="212"/>
      <c r="E18" s="212"/>
      <c r="F18" s="212"/>
      <c r="G18" s="212"/>
      <c r="H18" s="213"/>
    </row>
    <row r="19" spans="1:8" x14ac:dyDescent="0.25">
      <c r="A19" s="217" t="s">
        <v>723</v>
      </c>
      <c r="B19" s="210"/>
      <c r="C19" s="210"/>
      <c r="D19" s="210"/>
      <c r="E19" s="210"/>
      <c r="F19" s="210"/>
      <c r="G19" s="210"/>
      <c r="H19" s="159"/>
    </row>
    <row r="22" spans="1:8" x14ac:dyDescent="0.25">
      <c r="A22" s="5" t="s">
        <v>103</v>
      </c>
      <c r="B22" s="5" t="s">
        <v>693</v>
      </c>
      <c r="C22" s="5" t="s">
        <v>699</v>
      </c>
      <c r="D22" s="5" t="s">
        <v>694</v>
      </c>
      <c r="E22" s="5" t="s">
        <v>733</v>
      </c>
      <c r="F22" s="5" t="s">
        <v>709</v>
      </c>
      <c r="G22" s="5" t="s">
        <v>695</v>
      </c>
    </row>
    <row r="23" spans="1:8" x14ac:dyDescent="0.25">
      <c r="A23" s="214">
        <v>41550</v>
      </c>
      <c r="B23" s="215" t="s">
        <v>696</v>
      </c>
      <c r="C23" s="215" t="s">
        <v>700</v>
      </c>
      <c r="D23" s="215" t="s">
        <v>697</v>
      </c>
      <c r="E23" s="215">
        <v>48.1</v>
      </c>
      <c r="F23" s="216">
        <v>10</v>
      </c>
      <c r="G23" s="215">
        <v>3</v>
      </c>
    </row>
    <row r="24" spans="1:8" x14ac:dyDescent="0.25">
      <c r="A24" s="214">
        <v>41550</v>
      </c>
      <c r="B24" s="215" t="s">
        <v>698</v>
      </c>
      <c r="C24" s="215" t="s">
        <v>701</v>
      </c>
      <c r="D24" s="215" t="s">
        <v>697</v>
      </c>
      <c r="E24" s="215">
        <v>40.700000000000003</v>
      </c>
      <c r="F24" s="216">
        <v>10</v>
      </c>
      <c r="G24" s="215">
        <v>2</v>
      </c>
    </row>
    <row r="25" spans="1:8" x14ac:dyDescent="0.25">
      <c r="A25" s="214">
        <v>41546</v>
      </c>
      <c r="B25" s="215" t="s">
        <v>696</v>
      </c>
      <c r="C25" s="215" t="s">
        <v>700</v>
      </c>
      <c r="D25" s="215" t="s">
        <v>702</v>
      </c>
      <c r="E25" s="215">
        <v>54.5</v>
      </c>
      <c r="F25" s="216">
        <v>30</v>
      </c>
      <c r="G25" s="215">
        <v>4</v>
      </c>
    </row>
    <row r="26" spans="1:8" x14ac:dyDescent="0.25">
      <c r="A26" s="214">
        <v>41546</v>
      </c>
      <c r="B26" s="215" t="s">
        <v>698</v>
      </c>
      <c r="C26" s="215" t="s">
        <v>701</v>
      </c>
      <c r="D26" s="215" t="s">
        <v>702</v>
      </c>
      <c r="E26" s="215">
        <v>49.1</v>
      </c>
      <c r="F26" s="216">
        <v>30</v>
      </c>
      <c r="G26" s="215">
        <v>1</v>
      </c>
    </row>
    <row r="27" spans="1:8" x14ac:dyDescent="0.25">
      <c r="A27" s="214">
        <v>41538</v>
      </c>
      <c r="B27" s="215" t="s">
        <v>696</v>
      </c>
      <c r="C27" s="215" t="s">
        <v>700</v>
      </c>
      <c r="D27" s="215" t="s">
        <v>697</v>
      </c>
      <c r="E27" s="215">
        <v>49.5</v>
      </c>
      <c r="F27" s="216">
        <v>10</v>
      </c>
      <c r="G27" s="215">
        <v>2</v>
      </c>
    </row>
    <row r="28" spans="1:8" x14ac:dyDescent="0.25">
      <c r="A28" s="214">
        <v>41538</v>
      </c>
      <c r="B28" s="215" t="s">
        <v>698</v>
      </c>
      <c r="C28" s="215" t="s">
        <v>701</v>
      </c>
      <c r="D28" s="215" t="s">
        <v>697</v>
      </c>
      <c r="E28" s="215">
        <v>39.5</v>
      </c>
      <c r="F28" s="216">
        <v>10</v>
      </c>
      <c r="G28" s="215">
        <v>3</v>
      </c>
    </row>
    <row r="29" spans="1:8" x14ac:dyDescent="0.25">
      <c r="A29" s="45"/>
    </row>
    <row r="31" spans="1:8" x14ac:dyDescent="0.25">
      <c r="A31" s="5" t="s">
        <v>726</v>
      </c>
      <c r="B31" s="5" t="s">
        <v>103</v>
      </c>
      <c r="C31" s="5" t="s">
        <v>538</v>
      </c>
      <c r="D31" s="5" t="s">
        <v>727</v>
      </c>
      <c r="E31" s="5" t="s">
        <v>407</v>
      </c>
    </row>
    <row r="32" spans="1:8" x14ac:dyDescent="0.25">
      <c r="A32" t="s">
        <v>728</v>
      </c>
      <c r="B32" s="214">
        <v>41478</v>
      </c>
      <c r="C32">
        <v>10590</v>
      </c>
      <c r="D32" t="s">
        <v>729</v>
      </c>
      <c r="E32" s="184">
        <v>36.799999999999997</v>
      </c>
    </row>
    <row r="33" spans="1:5" x14ac:dyDescent="0.25">
      <c r="A33" t="s">
        <v>728</v>
      </c>
      <c r="B33" s="214">
        <v>41478</v>
      </c>
      <c r="C33">
        <v>10590</v>
      </c>
      <c r="D33" t="s">
        <v>730</v>
      </c>
      <c r="E33" s="184">
        <v>22</v>
      </c>
    </row>
    <row r="34" spans="1:5" x14ac:dyDescent="0.25">
      <c r="A34" t="s">
        <v>728</v>
      </c>
      <c r="B34" s="214">
        <v>41478</v>
      </c>
      <c r="C34">
        <v>10590</v>
      </c>
      <c r="D34" t="s">
        <v>730</v>
      </c>
      <c r="E34" s="184">
        <v>150</v>
      </c>
    </row>
    <row r="35" spans="1:5" x14ac:dyDescent="0.25">
      <c r="A35" t="s">
        <v>728</v>
      </c>
      <c r="B35" s="214">
        <v>41478</v>
      </c>
      <c r="C35">
        <v>10590</v>
      </c>
      <c r="D35" t="s">
        <v>731</v>
      </c>
      <c r="E35" s="184">
        <v>320</v>
      </c>
    </row>
    <row r="36" spans="1:5" x14ac:dyDescent="0.25">
      <c r="A36" t="s">
        <v>728</v>
      </c>
      <c r="B36" s="214">
        <v>41478</v>
      </c>
      <c r="C36">
        <v>10590</v>
      </c>
      <c r="D36" t="s">
        <v>729</v>
      </c>
      <c r="E36" s="184">
        <v>6.3</v>
      </c>
    </row>
    <row r="37" spans="1:5" x14ac:dyDescent="0.25">
      <c r="A37" t="s">
        <v>732</v>
      </c>
      <c r="B37" s="214">
        <v>41478</v>
      </c>
      <c r="C37">
        <v>10591</v>
      </c>
      <c r="D37" t="s">
        <v>729</v>
      </c>
      <c r="E37" s="184">
        <v>17.8</v>
      </c>
    </row>
    <row r="38" spans="1:5" x14ac:dyDescent="0.25">
      <c r="A38" t="s">
        <v>732</v>
      </c>
      <c r="B38" s="214">
        <v>41478</v>
      </c>
      <c r="C38">
        <v>10591</v>
      </c>
      <c r="D38" t="s">
        <v>730</v>
      </c>
      <c r="E38" s="184">
        <v>25</v>
      </c>
    </row>
    <row r="39" spans="1:5" x14ac:dyDescent="0.25">
      <c r="A39" t="s">
        <v>732</v>
      </c>
      <c r="B39" s="214">
        <v>41478</v>
      </c>
      <c r="C39">
        <v>10591</v>
      </c>
      <c r="D39" t="s">
        <v>730</v>
      </c>
      <c r="E39" s="184">
        <v>32.5</v>
      </c>
    </row>
    <row r="40" spans="1:5" x14ac:dyDescent="0.25">
      <c r="A40" t="s">
        <v>732</v>
      </c>
      <c r="B40" s="214">
        <v>41478</v>
      </c>
      <c r="C40">
        <v>10591</v>
      </c>
      <c r="D40" t="s">
        <v>731</v>
      </c>
      <c r="E40" s="184">
        <v>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71"/>
  <sheetViews>
    <sheetView topLeftCell="A63" workbookViewId="0">
      <selection activeCell="C21" sqref="C21"/>
    </sheetView>
  </sheetViews>
  <sheetFormatPr defaultRowHeight="15" x14ac:dyDescent="0.25"/>
  <cols>
    <col min="1" max="1" width="5.5703125" customWidth="1"/>
    <col min="2" max="2" width="25.85546875" customWidth="1"/>
    <col min="3" max="3" width="19.5703125" customWidth="1"/>
    <col min="4" max="4" width="21.85546875" customWidth="1"/>
    <col min="5" max="5" width="21.42578125" bestFit="1" customWidth="1"/>
    <col min="6" max="6" width="12.42578125" customWidth="1"/>
    <col min="7" max="7" width="9.7109375" bestFit="1" customWidth="1"/>
    <col min="18" max="18" width="12.7109375" customWidth="1"/>
  </cols>
  <sheetData>
    <row r="1" spans="1:5" x14ac:dyDescent="0.25">
      <c r="A1" s="5" t="s">
        <v>84</v>
      </c>
      <c r="B1" s="49" t="s">
        <v>85</v>
      </c>
      <c r="C1" s="17"/>
      <c r="D1" s="17"/>
      <c r="E1" s="18"/>
    </row>
    <row r="2" spans="1:5" x14ac:dyDescent="0.25">
      <c r="B2" s="41" t="s">
        <v>86</v>
      </c>
      <c r="C2" s="21"/>
      <c r="D2" s="21"/>
      <c r="E2" s="22"/>
    </row>
    <row r="3" spans="1:5" x14ac:dyDescent="0.25">
      <c r="B3" s="51" t="s">
        <v>87</v>
      </c>
      <c r="C3" s="21"/>
      <c r="D3" s="21"/>
      <c r="E3" s="22"/>
    </row>
    <row r="4" spans="1:5" x14ac:dyDescent="0.25">
      <c r="B4" s="41" t="s">
        <v>99</v>
      </c>
      <c r="C4" s="21"/>
      <c r="D4" s="21"/>
      <c r="E4" s="22"/>
    </row>
    <row r="5" spans="1:5" x14ac:dyDescent="0.25">
      <c r="B5" s="24" t="s">
        <v>132</v>
      </c>
      <c r="C5" s="25"/>
      <c r="D5" s="25"/>
      <c r="E5" s="26"/>
    </row>
    <row r="6" spans="1:5" x14ac:dyDescent="0.25">
      <c r="B6" s="58" t="s">
        <v>89</v>
      </c>
      <c r="C6" s="59">
        <v>0.33333333333333331</v>
      </c>
    </row>
    <row r="7" spans="1:5" x14ac:dyDescent="0.25">
      <c r="B7" s="52" t="s">
        <v>90</v>
      </c>
      <c r="C7" s="54">
        <v>0.54166666666666663</v>
      </c>
    </row>
    <row r="8" spans="1:5" x14ac:dyDescent="0.25">
      <c r="B8" s="60" t="s">
        <v>93</v>
      </c>
      <c r="C8" s="61">
        <f>(C7-C6)*24</f>
        <v>5</v>
      </c>
      <c r="E8" t="s">
        <v>88</v>
      </c>
    </row>
    <row r="9" spans="1:5" x14ac:dyDescent="0.25">
      <c r="A9" s="5" t="s">
        <v>97</v>
      </c>
      <c r="B9" s="49" t="s">
        <v>87</v>
      </c>
      <c r="C9" s="17"/>
      <c r="D9" s="18"/>
    </row>
    <row r="10" spans="1:5" x14ac:dyDescent="0.25">
      <c r="B10" s="24" t="s">
        <v>98</v>
      </c>
      <c r="C10" s="25"/>
      <c r="D10" s="26"/>
    </row>
    <row r="11" spans="1:5" x14ac:dyDescent="0.25">
      <c r="B11" s="58" t="s">
        <v>91</v>
      </c>
      <c r="C11" s="62">
        <v>19.75</v>
      </c>
    </row>
    <row r="12" spans="1:5" x14ac:dyDescent="0.25">
      <c r="B12" s="52" t="s">
        <v>92</v>
      </c>
      <c r="C12" s="53">
        <f>C11*C8</f>
        <v>98.75</v>
      </c>
      <c r="E12" t="s">
        <v>88</v>
      </c>
    </row>
    <row r="14" spans="1:5" x14ac:dyDescent="0.25">
      <c r="B14" s="49" t="s">
        <v>100</v>
      </c>
      <c r="C14" s="18"/>
      <c r="E14" t="s">
        <v>101</v>
      </c>
    </row>
    <row r="15" spans="1:5" x14ac:dyDescent="0.25">
      <c r="B15" s="55" t="s">
        <v>94</v>
      </c>
      <c r="C15" s="22"/>
    </row>
    <row r="16" spans="1:5" x14ac:dyDescent="0.25">
      <c r="B16" s="56" t="s">
        <v>95</v>
      </c>
      <c r="C16" s="22"/>
    </row>
    <row r="17" spans="1:14" x14ac:dyDescent="0.25">
      <c r="B17" s="55" t="s">
        <v>96</v>
      </c>
      <c r="C17" s="22"/>
    </row>
    <row r="18" spans="1:14" x14ac:dyDescent="0.25">
      <c r="B18" s="57" t="s">
        <v>642</v>
      </c>
      <c r="C18" s="26"/>
      <c r="N18" t="s">
        <v>107</v>
      </c>
    </row>
    <row r="19" spans="1:14" x14ac:dyDescent="0.25">
      <c r="N19" t="s">
        <v>108</v>
      </c>
    </row>
    <row r="20" spans="1:14" x14ac:dyDescent="0.25">
      <c r="A20" s="5" t="s">
        <v>102</v>
      </c>
      <c r="B20" s="49" t="s">
        <v>85</v>
      </c>
      <c r="C20" s="17"/>
      <c r="D20" s="18"/>
    </row>
    <row r="21" spans="1:14" x14ac:dyDescent="0.25">
      <c r="B21" s="41" t="s">
        <v>86</v>
      </c>
      <c r="C21" s="21"/>
      <c r="D21" s="22"/>
    </row>
    <row r="22" spans="1:14" x14ac:dyDescent="0.25">
      <c r="B22" s="51" t="s">
        <v>87</v>
      </c>
      <c r="C22" s="21"/>
      <c r="D22" s="22"/>
    </row>
    <row r="23" spans="1:14" x14ac:dyDescent="0.25">
      <c r="B23" s="24" t="s">
        <v>125</v>
      </c>
      <c r="C23" s="25"/>
      <c r="D23" s="26"/>
    </row>
    <row r="24" spans="1:14" x14ac:dyDescent="0.25">
      <c r="B24" s="65" t="s">
        <v>106</v>
      </c>
      <c r="C24" s="65" t="s">
        <v>123</v>
      </c>
      <c r="G24" s="5" t="s">
        <v>124</v>
      </c>
      <c r="N24" t="s">
        <v>109</v>
      </c>
    </row>
    <row r="25" spans="1:14" x14ac:dyDescent="0.25">
      <c r="B25" s="3" t="s">
        <v>107</v>
      </c>
      <c r="C25" s="64">
        <f t="shared" ref="C25:C40" si="0">COUNTIF($H$27:$H$252,B25)</f>
        <v>17</v>
      </c>
      <c r="E25" t="s">
        <v>88</v>
      </c>
      <c r="N25" t="s">
        <v>110</v>
      </c>
    </row>
    <row r="26" spans="1:14" x14ac:dyDescent="0.25">
      <c r="B26" s="3" t="s">
        <v>108</v>
      </c>
      <c r="C26" s="64">
        <f t="shared" si="0"/>
        <v>17</v>
      </c>
      <c r="G26" s="1" t="s">
        <v>103</v>
      </c>
      <c r="H26" s="1" t="s">
        <v>104</v>
      </c>
      <c r="I26" s="1" t="s">
        <v>105</v>
      </c>
      <c r="N26" t="s">
        <v>111</v>
      </c>
    </row>
    <row r="27" spans="1:14" x14ac:dyDescent="0.25">
      <c r="B27" s="3" t="s">
        <v>109</v>
      </c>
      <c r="C27" s="64">
        <f t="shared" si="0"/>
        <v>18</v>
      </c>
      <c r="G27" s="63">
        <v>41543</v>
      </c>
      <c r="H27" s="3" t="s">
        <v>110</v>
      </c>
      <c r="I27" s="3">
        <v>137</v>
      </c>
      <c r="N27" t="s">
        <v>112</v>
      </c>
    </row>
    <row r="28" spans="1:14" x14ac:dyDescent="0.25">
      <c r="B28" s="3" t="s">
        <v>110</v>
      </c>
      <c r="C28" s="64">
        <f t="shared" si="0"/>
        <v>12</v>
      </c>
      <c r="G28" s="63">
        <v>41544</v>
      </c>
      <c r="H28" s="3" t="s">
        <v>117</v>
      </c>
      <c r="I28" s="3">
        <v>39</v>
      </c>
      <c r="N28" t="s">
        <v>113</v>
      </c>
    </row>
    <row r="29" spans="1:14" x14ac:dyDescent="0.25">
      <c r="B29" s="3" t="s">
        <v>111</v>
      </c>
      <c r="C29" s="64">
        <f t="shared" si="0"/>
        <v>10</v>
      </c>
      <c r="G29" s="63">
        <v>41548</v>
      </c>
      <c r="H29" s="3" t="s">
        <v>119</v>
      </c>
      <c r="I29" s="3">
        <v>110</v>
      </c>
      <c r="N29" t="s">
        <v>114</v>
      </c>
    </row>
    <row r="30" spans="1:14" x14ac:dyDescent="0.25">
      <c r="B30" s="3" t="s">
        <v>112</v>
      </c>
      <c r="C30" s="64">
        <f t="shared" si="0"/>
        <v>19</v>
      </c>
      <c r="G30" s="63">
        <v>41548</v>
      </c>
      <c r="H30" s="3" t="s">
        <v>116</v>
      </c>
      <c r="I30" s="3">
        <v>107</v>
      </c>
      <c r="N30" t="s">
        <v>115</v>
      </c>
    </row>
    <row r="31" spans="1:14" x14ac:dyDescent="0.25">
      <c r="B31" s="3" t="s">
        <v>113</v>
      </c>
      <c r="C31" s="64">
        <f t="shared" si="0"/>
        <v>17</v>
      </c>
      <c r="G31" s="63">
        <v>41547</v>
      </c>
      <c r="H31" s="3" t="s">
        <v>122</v>
      </c>
      <c r="I31" s="3">
        <v>168</v>
      </c>
      <c r="N31" t="s">
        <v>116</v>
      </c>
    </row>
    <row r="32" spans="1:14" x14ac:dyDescent="0.25">
      <c r="B32" s="3" t="s">
        <v>114</v>
      </c>
      <c r="C32" s="64">
        <f t="shared" si="0"/>
        <v>18</v>
      </c>
      <c r="G32" s="63">
        <v>41543</v>
      </c>
      <c r="H32" s="3" t="s">
        <v>117</v>
      </c>
      <c r="I32" s="3">
        <v>164</v>
      </c>
      <c r="N32" t="s">
        <v>117</v>
      </c>
    </row>
    <row r="33" spans="1:14" x14ac:dyDescent="0.25">
      <c r="B33" s="3" t="s">
        <v>115</v>
      </c>
      <c r="C33" s="64">
        <f t="shared" si="0"/>
        <v>14</v>
      </c>
      <c r="G33" s="63">
        <v>41548</v>
      </c>
      <c r="H33" s="3" t="s">
        <v>115</v>
      </c>
      <c r="I33" s="3">
        <v>59</v>
      </c>
      <c r="N33" t="s">
        <v>118</v>
      </c>
    </row>
    <row r="34" spans="1:14" x14ac:dyDescent="0.25">
      <c r="B34" s="3" t="s">
        <v>116</v>
      </c>
      <c r="C34" s="64">
        <f t="shared" si="0"/>
        <v>14</v>
      </c>
      <c r="G34" s="63">
        <v>41547</v>
      </c>
      <c r="H34" s="3" t="s">
        <v>110</v>
      </c>
      <c r="I34" s="3">
        <v>81</v>
      </c>
      <c r="N34" t="s">
        <v>119</v>
      </c>
    </row>
    <row r="35" spans="1:14" x14ac:dyDescent="0.25">
      <c r="B35" s="3" t="s">
        <v>117</v>
      </c>
      <c r="C35" s="64">
        <f t="shared" si="0"/>
        <v>14</v>
      </c>
      <c r="G35" s="63">
        <v>41543</v>
      </c>
      <c r="H35" s="3" t="s">
        <v>115</v>
      </c>
      <c r="I35" s="3">
        <v>168</v>
      </c>
      <c r="N35" t="s">
        <v>120</v>
      </c>
    </row>
    <row r="36" spans="1:14" x14ac:dyDescent="0.25">
      <c r="B36" s="3" t="s">
        <v>118</v>
      </c>
      <c r="C36" s="64">
        <f t="shared" si="0"/>
        <v>2</v>
      </c>
      <c r="G36" s="63">
        <v>41546</v>
      </c>
      <c r="H36" s="3" t="s">
        <v>121</v>
      </c>
      <c r="I36" s="3">
        <v>37</v>
      </c>
      <c r="N36" t="s">
        <v>121</v>
      </c>
    </row>
    <row r="37" spans="1:14" x14ac:dyDescent="0.25">
      <c r="B37" s="3" t="s">
        <v>119</v>
      </c>
      <c r="C37" s="64">
        <f t="shared" si="0"/>
        <v>13</v>
      </c>
      <c r="G37" s="63">
        <v>41544</v>
      </c>
      <c r="H37" s="3" t="s">
        <v>111</v>
      </c>
      <c r="I37" s="3">
        <v>67</v>
      </c>
      <c r="N37" t="s">
        <v>122</v>
      </c>
    </row>
    <row r="38" spans="1:14" x14ac:dyDescent="0.25">
      <c r="B38" s="3" t="s">
        <v>120</v>
      </c>
      <c r="C38" s="64">
        <f t="shared" si="0"/>
        <v>13</v>
      </c>
      <c r="G38" s="63">
        <v>41546</v>
      </c>
      <c r="H38" s="3" t="s">
        <v>117</v>
      </c>
      <c r="I38" s="3">
        <v>55</v>
      </c>
    </row>
    <row r="39" spans="1:14" x14ac:dyDescent="0.25">
      <c r="B39" s="3" t="s">
        <v>121</v>
      </c>
      <c r="C39" s="64">
        <f t="shared" si="0"/>
        <v>13</v>
      </c>
      <c r="G39" s="63">
        <v>41546</v>
      </c>
      <c r="H39" s="3" t="s">
        <v>121</v>
      </c>
      <c r="I39" s="3">
        <v>58</v>
      </c>
    </row>
    <row r="40" spans="1:14" x14ac:dyDescent="0.25">
      <c r="B40" s="3" t="s">
        <v>122</v>
      </c>
      <c r="C40" s="64">
        <f t="shared" si="0"/>
        <v>15</v>
      </c>
      <c r="G40" s="63">
        <v>41544</v>
      </c>
      <c r="H40" s="3" t="s">
        <v>107</v>
      </c>
      <c r="I40" s="3">
        <v>16</v>
      </c>
    </row>
    <row r="41" spans="1:14" x14ac:dyDescent="0.25">
      <c r="G41" s="63">
        <v>41545</v>
      </c>
      <c r="H41" s="3" t="s">
        <v>114</v>
      </c>
      <c r="I41" s="3">
        <v>127</v>
      </c>
    </row>
    <row r="42" spans="1:14" x14ac:dyDescent="0.25">
      <c r="A42" s="5" t="s">
        <v>126</v>
      </c>
      <c r="B42" s="49" t="s">
        <v>85</v>
      </c>
      <c r="C42" s="17"/>
      <c r="D42" s="17"/>
      <c r="E42" s="18"/>
      <c r="G42" s="63">
        <v>41543</v>
      </c>
      <c r="H42" s="3" t="s">
        <v>108</v>
      </c>
      <c r="I42" s="3">
        <v>167</v>
      </c>
    </row>
    <row r="43" spans="1:14" x14ac:dyDescent="0.25">
      <c r="B43" s="41" t="s">
        <v>127</v>
      </c>
      <c r="C43" s="21"/>
      <c r="D43" s="21"/>
      <c r="E43" s="22"/>
      <c r="G43" s="63">
        <v>41544</v>
      </c>
      <c r="H43" s="3" t="s">
        <v>111</v>
      </c>
      <c r="I43" s="3">
        <v>113</v>
      </c>
    </row>
    <row r="44" spans="1:14" x14ac:dyDescent="0.25">
      <c r="B44" s="51" t="s">
        <v>87</v>
      </c>
      <c r="C44" s="21"/>
      <c r="D44" s="21"/>
      <c r="E44" s="22"/>
      <c r="G44" s="63">
        <v>41544</v>
      </c>
      <c r="H44" s="3" t="s">
        <v>122</v>
      </c>
      <c r="I44" s="3">
        <v>132</v>
      </c>
    </row>
    <row r="45" spans="1:14" x14ac:dyDescent="0.25">
      <c r="B45" s="24" t="s">
        <v>148</v>
      </c>
      <c r="C45" s="25"/>
      <c r="D45" s="25"/>
      <c r="E45" s="26"/>
      <c r="G45" s="63">
        <v>41543</v>
      </c>
      <c r="H45" s="3" t="s">
        <v>114</v>
      </c>
      <c r="I45" s="3">
        <v>135</v>
      </c>
    </row>
    <row r="46" spans="1:14" x14ac:dyDescent="0.25">
      <c r="B46" s="65" t="s">
        <v>129</v>
      </c>
      <c r="C46" s="65" t="s">
        <v>643</v>
      </c>
      <c r="G46" s="63">
        <v>41547</v>
      </c>
      <c r="H46" s="3" t="s">
        <v>113</v>
      </c>
      <c r="I46" s="3">
        <v>97</v>
      </c>
    </row>
    <row r="47" spans="1:14" x14ac:dyDescent="0.25">
      <c r="B47" s="3" t="s">
        <v>153</v>
      </c>
      <c r="C47" s="64" t="str">
        <f>RIGHT(B47,2)</f>
        <v>CA</v>
      </c>
      <c r="E47" t="s">
        <v>135</v>
      </c>
      <c r="G47" s="63">
        <v>41546</v>
      </c>
      <c r="H47" s="3" t="s">
        <v>117</v>
      </c>
      <c r="I47" s="3">
        <v>88</v>
      </c>
    </row>
    <row r="48" spans="1:14" x14ac:dyDescent="0.25">
      <c r="B48" s="3" t="s">
        <v>154</v>
      </c>
      <c r="C48" s="64" t="str">
        <f t="shared" ref="C48:C51" si="1">RIGHT(B48,2)</f>
        <v>WA</v>
      </c>
      <c r="G48" s="63">
        <v>41543</v>
      </c>
      <c r="H48" s="3" t="s">
        <v>120</v>
      </c>
      <c r="I48" s="3">
        <v>166</v>
      </c>
    </row>
    <row r="49" spans="1:15" x14ac:dyDescent="0.25">
      <c r="B49" s="3" t="s">
        <v>155</v>
      </c>
      <c r="C49" s="64" t="str">
        <f t="shared" si="1"/>
        <v>OR</v>
      </c>
      <c r="G49" s="63">
        <v>41545</v>
      </c>
      <c r="H49" s="3" t="s">
        <v>116</v>
      </c>
      <c r="I49" s="3">
        <v>76</v>
      </c>
    </row>
    <row r="50" spans="1:15" x14ac:dyDescent="0.25">
      <c r="B50" s="3" t="s">
        <v>156</v>
      </c>
      <c r="C50" s="64" t="str">
        <f t="shared" si="1"/>
        <v>WA</v>
      </c>
      <c r="G50" s="63">
        <v>41543</v>
      </c>
      <c r="H50" s="3" t="s">
        <v>117</v>
      </c>
      <c r="I50" s="3">
        <v>156</v>
      </c>
      <c r="O50" t="s">
        <v>130</v>
      </c>
    </row>
    <row r="51" spans="1:15" x14ac:dyDescent="0.25">
      <c r="B51" s="3" t="s">
        <v>157</v>
      </c>
      <c r="C51" s="64" t="str">
        <f t="shared" si="1"/>
        <v>CA</v>
      </c>
      <c r="G51" s="63">
        <v>41546</v>
      </c>
      <c r="H51" s="3" t="s">
        <v>107</v>
      </c>
      <c r="I51" s="3">
        <v>156</v>
      </c>
      <c r="O51" t="str">
        <f ca="1">RANDBETWEEN(100,999)&amp;"-"&amp;"-"&amp;CHAR(RANDBETWEEN(65,65+24))&amp;CHAR(RANDBETWEEN(65,65+24))&amp;CHAR(RANDBETWEEN(65,65+24))&amp;"/"&amp;INDEX({"WA","CA","OR"},RANDBETWEEN(1,3))</f>
        <v>380--DVE/CA</v>
      </c>
    </row>
    <row r="52" spans="1:15" x14ac:dyDescent="0.25">
      <c r="B52" s="3" t="s">
        <v>158</v>
      </c>
      <c r="C52" s="64" t="str">
        <f>RIGHT(B52,2)</f>
        <v>OR</v>
      </c>
      <c r="G52" s="63">
        <v>41544</v>
      </c>
      <c r="H52" s="3" t="s">
        <v>117</v>
      </c>
      <c r="I52" s="3">
        <v>126</v>
      </c>
    </row>
    <row r="53" spans="1:15" x14ac:dyDescent="0.25">
      <c r="G53" s="63">
        <v>41548</v>
      </c>
      <c r="H53" s="3" t="s">
        <v>117</v>
      </c>
      <c r="I53" s="3">
        <v>139</v>
      </c>
    </row>
    <row r="54" spans="1:15" x14ac:dyDescent="0.25">
      <c r="A54" s="5" t="s">
        <v>134</v>
      </c>
      <c r="B54" s="49" t="s">
        <v>85</v>
      </c>
      <c r="C54" s="17"/>
      <c r="D54" s="17"/>
      <c r="E54" s="18"/>
      <c r="G54" s="63">
        <v>41546</v>
      </c>
      <c r="H54" s="3" t="s">
        <v>121</v>
      </c>
      <c r="I54" s="3">
        <v>50</v>
      </c>
    </row>
    <row r="55" spans="1:15" x14ac:dyDescent="0.25">
      <c r="B55" s="41" t="s">
        <v>127</v>
      </c>
      <c r="C55" s="21"/>
      <c r="D55" s="21"/>
      <c r="E55" s="22"/>
      <c r="G55" s="63">
        <v>41548</v>
      </c>
      <c r="H55" s="3" t="s">
        <v>108</v>
      </c>
      <c r="I55" s="3">
        <v>140</v>
      </c>
    </row>
    <row r="56" spans="1:15" x14ac:dyDescent="0.25">
      <c r="B56" s="51" t="s">
        <v>87</v>
      </c>
      <c r="C56" s="21"/>
      <c r="D56" s="21"/>
      <c r="E56" s="22"/>
      <c r="G56" s="63">
        <v>41544</v>
      </c>
      <c r="H56" s="3" t="s">
        <v>116</v>
      </c>
      <c r="I56" s="3">
        <v>35</v>
      </c>
    </row>
    <row r="57" spans="1:15" x14ac:dyDescent="0.25">
      <c r="B57" s="24" t="s">
        <v>168</v>
      </c>
      <c r="C57" s="25"/>
      <c r="D57" s="25"/>
      <c r="E57" s="26"/>
      <c r="G57" s="63">
        <v>41544</v>
      </c>
      <c r="H57" s="3" t="s">
        <v>110</v>
      </c>
      <c r="I57" s="3">
        <v>26</v>
      </c>
    </row>
    <row r="58" spans="1:15" x14ac:dyDescent="0.25">
      <c r="B58" s="65" t="s">
        <v>159</v>
      </c>
      <c r="C58" s="65" t="s">
        <v>643</v>
      </c>
      <c r="D58" s="65" t="s">
        <v>161</v>
      </c>
      <c r="G58" s="63">
        <v>41547</v>
      </c>
      <c r="H58" s="3" t="s">
        <v>112</v>
      </c>
      <c r="I58" s="3">
        <v>152</v>
      </c>
    </row>
    <row r="59" spans="1:15" x14ac:dyDescent="0.25">
      <c r="B59" s="3" t="s">
        <v>162</v>
      </c>
      <c r="C59" s="3" t="s">
        <v>131</v>
      </c>
      <c r="D59" s="64" t="str">
        <f>B59&amp;C59</f>
        <v>572-YEW/CA</v>
      </c>
      <c r="E59" t="s">
        <v>135</v>
      </c>
      <c r="G59" s="63">
        <v>41544</v>
      </c>
      <c r="H59" s="3" t="s">
        <v>108</v>
      </c>
      <c r="I59" s="3">
        <v>26</v>
      </c>
    </row>
    <row r="60" spans="1:15" x14ac:dyDescent="0.25">
      <c r="B60" s="3" t="s">
        <v>163</v>
      </c>
      <c r="C60" s="3" t="s">
        <v>160</v>
      </c>
      <c r="D60" s="64" t="str">
        <f t="shared" ref="D60:D63" si="2">B60&amp;C60</f>
        <v>503-MSA/WA</v>
      </c>
      <c r="G60" s="63">
        <v>41547</v>
      </c>
      <c r="H60" s="3" t="s">
        <v>113</v>
      </c>
      <c r="I60" s="3">
        <v>15</v>
      </c>
    </row>
    <row r="61" spans="1:15" x14ac:dyDescent="0.25">
      <c r="B61" s="3" t="s">
        <v>164</v>
      </c>
      <c r="C61" s="3" t="s">
        <v>138</v>
      </c>
      <c r="D61" s="64" t="str">
        <f t="shared" si="2"/>
        <v>708-LIJ/OR</v>
      </c>
      <c r="G61" s="63">
        <v>41545</v>
      </c>
      <c r="H61" s="3" t="s">
        <v>112</v>
      </c>
      <c r="I61" s="3">
        <v>163</v>
      </c>
    </row>
    <row r="62" spans="1:15" x14ac:dyDescent="0.25">
      <c r="B62" s="3" t="s">
        <v>165</v>
      </c>
      <c r="C62" s="3" t="s">
        <v>160</v>
      </c>
      <c r="D62" s="64" t="str">
        <f t="shared" si="2"/>
        <v>455-LCO/WA</v>
      </c>
      <c r="G62" s="63">
        <v>41547</v>
      </c>
      <c r="H62" s="3" t="s">
        <v>115</v>
      </c>
      <c r="I62" s="3">
        <v>98</v>
      </c>
    </row>
    <row r="63" spans="1:15" x14ac:dyDescent="0.25">
      <c r="B63" s="3" t="s">
        <v>166</v>
      </c>
      <c r="C63" s="3" t="s">
        <v>131</v>
      </c>
      <c r="D63" s="64" t="str">
        <f t="shared" si="2"/>
        <v>826-JWW/CA</v>
      </c>
      <c r="G63" s="63">
        <v>41548</v>
      </c>
      <c r="H63" s="3" t="s">
        <v>117</v>
      </c>
      <c r="I63" s="3">
        <v>107</v>
      </c>
    </row>
    <row r="64" spans="1:15" x14ac:dyDescent="0.25">
      <c r="B64" s="3" t="s">
        <v>167</v>
      </c>
      <c r="C64" s="3" t="s">
        <v>138</v>
      </c>
      <c r="D64" s="64" t="str">
        <f>B64&amp;C64</f>
        <v>486-DFJ/OR</v>
      </c>
      <c r="G64" s="63">
        <v>41545</v>
      </c>
      <c r="H64" s="3" t="s">
        <v>109</v>
      </c>
      <c r="I64" s="3">
        <v>24</v>
      </c>
    </row>
    <row r="65" spans="1:9" x14ac:dyDescent="0.25">
      <c r="G65" s="63">
        <v>41546</v>
      </c>
      <c r="H65" s="3" t="s">
        <v>119</v>
      </c>
      <c r="I65" s="3">
        <v>141</v>
      </c>
    </row>
    <row r="66" spans="1:9" x14ac:dyDescent="0.25">
      <c r="A66" s="5" t="s">
        <v>147</v>
      </c>
      <c r="B66" s="49" t="s">
        <v>85</v>
      </c>
      <c r="C66" s="17"/>
      <c r="D66" s="17"/>
      <c r="E66" s="18"/>
      <c r="G66" s="63">
        <v>41547</v>
      </c>
      <c r="H66" s="3" t="s">
        <v>109</v>
      </c>
      <c r="I66" s="3">
        <v>66</v>
      </c>
    </row>
    <row r="67" spans="1:9" x14ac:dyDescent="0.25">
      <c r="B67" s="41" t="s">
        <v>133</v>
      </c>
      <c r="C67" s="21"/>
      <c r="D67" s="21"/>
      <c r="E67" s="22"/>
      <c r="G67" s="63">
        <v>41544</v>
      </c>
      <c r="H67" s="3" t="s">
        <v>113</v>
      </c>
      <c r="I67" s="3">
        <v>107</v>
      </c>
    </row>
    <row r="68" spans="1:9" x14ac:dyDescent="0.25">
      <c r="B68" s="51" t="s">
        <v>87</v>
      </c>
      <c r="C68" s="21"/>
      <c r="D68" s="21"/>
      <c r="E68" s="22"/>
      <c r="G68" s="63">
        <v>41548</v>
      </c>
      <c r="H68" s="3" t="s">
        <v>121</v>
      </c>
      <c r="I68" s="3">
        <v>135</v>
      </c>
    </row>
    <row r="69" spans="1:9" x14ac:dyDescent="0.25">
      <c r="B69" s="24" t="s">
        <v>149</v>
      </c>
      <c r="C69" s="25"/>
      <c r="D69" s="25"/>
      <c r="E69" s="26"/>
      <c r="G69" s="63">
        <v>41543</v>
      </c>
      <c r="H69" s="3" t="s">
        <v>116</v>
      </c>
      <c r="I69" s="3">
        <v>155</v>
      </c>
    </row>
    <row r="70" spans="1:9" x14ac:dyDescent="0.25">
      <c r="A70" s="5" t="s">
        <v>152</v>
      </c>
      <c r="B70" s="39" t="s">
        <v>151</v>
      </c>
      <c r="C70" s="17"/>
      <c r="D70" s="17"/>
      <c r="E70" s="18"/>
      <c r="G70" s="63">
        <v>41543</v>
      </c>
      <c r="H70" s="3" t="s">
        <v>113</v>
      </c>
      <c r="I70" s="3">
        <v>108</v>
      </c>
    </row>
    <row r="71" spans="1:9" x14ac:dyDescent="0.25">
      <c r="B71" s="24" t="s">
        <v>150</v>
      </c>
      <c r="C71" s="25"/>
      <c r="D71" s="25"/>
      <c r="E71" s="26"/>
      <c r="G71" s="63">
        <v>41545</v>
      </c>
      <c r="H71" s="3" t="s">
        <v>119</v>
      </c>
      <c r="I71" s="3">
        <v>97</v>
      </c>
    </row>
    <row r="72" spans="1:9" x14ac:dyDescent="0.25">
      <c r="B72" s="1" t="s">
        <v>136</v>
      </c>
      <c r="C72" s="1" t="s">
        <v>145</v>
      </c>
      <c r="D72" s="1" t="s">
        <v>137</v>
      </c>
      <c r="E72" s="1" t="s">
        <v>146</v>
      </c>
      <c r="G72" s="63">
        <v>41548</v>
      </c>
      <c r="H72" s="3" t="s">
        <v>109</v>
      </c>
      <c r="I72" s="3">
        <v>127</v>
      </c>
    </row>
    <row r="73" spans="1:9" x14ac:dyDescent="0.25">
      <c r="B73" s="3" t="s">
        <v>139</v>
      </c>
      <c r="C73" s="3">
        <v>4</v>
      </c>
      <c r="D73" s="64" t="b">
        <f>C73&gt;$C$82</f>
        <v>0</v>
      </c>
      <c r="E73" s="64" t="str">
        <f>IF(C73&gt;$C$82,"Over","Under")</f>
        <v>Under</v>
      </c>
      <c r="G73" s="63">
        <v>41548</v>
      </c>
      <c r="H73" s="3" t="s">
        <v>119</v>
      </c>
      <c r="I73" s="3">
        <v>150</v>
      </c>
    </row>
    <row r="74" spans="1:9" x14ac:dyDescent="0.25">
      <c r="B74" s="3" t="s">
        <v>140</v>
      </c>
      <c r="C74" s="3">
        <v>84</v>
      </c>
      <c r="D74" s="64" t="b">
        <f t="shared" ref="D74:D78" si="3">C74&gt;$C$82</f>
        <v>1</v>
      </c>
      <c r="E74" s="64" t="str">
        <f t="shared" ref="E74:E78" si="4">IF(C74&gt;$C$82,"Over","Under")</f>
        <v>Over</v>
      </c>
      <c r="G74" s="63">
        <v>41543</v>
      </c>
      <c r="H74" s="3" t="s">
        <v>114</v>
      </c>
      <c r="I74" s="3">
        <v>84</v>
      </c>
    </row>
    <row r="75" spans="1:9" x14ac:dyDescent="0.25">
      <c r="B75" s="3" t="s">
        <v>141</v>
      </c>
      <c r="C75" s="3">
        <v>106</v>
      </c>
      <c r="D75" s="64" t="b">
        <f t="shared" si="3"/>
        <v>1</v>
      </c>
      <c r="E75" s="64" t="str">
        <f t="shared" si="4"/>
        <v>Over</v>
      </c>
      <c r="G75" s="63">
        <v>41548</v>
      </c>
      <c r="H75" s="3" t="s">
        <v>113</v>
      </c>
      <c r="I75" s="3">
        <v>33</v>
      </c>
    </row>
    <row r="76" spans="1:9" x14ac:dyDescent="0.25">
      <c r="B76" s="3" t="s">
        <v>142</v>
      </c>
      <c r="C76" s="3">
        <v>28</v>
      </c>
      <c r="D76" s="64" t="b">
        <f t="shared" si="3"/>
        <v>0</v>
      </c>
      <c r="E76" s="64" t="str">
        <f t="shared" si="4"/>
        <v>Under</v>
      </c>
      <c r="G76" s="63">
        <v>41547</v>
      </c>
      <c r="H76" s="3" t="s">
        <v>115</v>
      </c>
      <c r="I76" s="3">
        <v>125</v>
      </c>
    </row>
    <row r="77" spans="1:9" x14ac:dyDescent="0.25">
      <c r="B77" s="3" t="s">
        <v>143</v>
      </c>
      <c r="C77" s="3">
        <v>34</v>
      </c>
      <c r="D77" s="64" t="b">
        <f t="shared" si="3"/>
        <v>0</v>
      </c>
      <c r="E77" s="64" t="str">
        <f t="shared" si="4"/>
        <v>Under</v>
      </c>
      <c r="G77" s="63">
        <v>41547</v>
      </c>
      <c r="H77" s="3" t="s">
        <v>108</v>
      </c>
      <c r="I77" s="3">
        <v>110</v>
      </c>
    </row>
    <row r="78" spans="1:9" x14ac:dyDescent="0.25">
      <c r="B78" s="3" t="s">
        <v>144</v>
      </c>
      <c r="C78" s="3">
        <v>89</v>
      </c>
      <c r="D78" s="64" t="b">
        <f t="shared" si="3"/>
        <v>1</v>
      </c>
      <c r="E78" s="64" t="str">
        <f t="shared" si="4"/>
        <v>Over</v>
      </c>
      <c r="G78" s="63">
        <v>41545</v>
      </c>
      <c r="H78" s="3" t="s">
        <v>122</v>
      </c>
      <c r="I78" s="3">
        <v>82</v>
      </c>
    </row>
    <row r="79" spans="1:9" x14ac:dyDescent="0.25">
      <c r="G79" s="63">
        <v>41546</v>
      </c>
      <c r="H79" s="3" t="s">
        <v>109</v>
      </c>
      <c r="I79" s="3">
        <v>154</v>
      </c>
    </row>
    <row r="80" spans="1:9" x14ac:dyDescent="0.25">
      <c r="D80" t="s">
        <v>640</v>
      </c>
      <c r="E80" t="s">
        <v>135</v>
      </c>
      <c r="G80" s="63">
        <v>41547</v>
      </c>
      <c r="H80" s="3" t="s">
        <v>121</v>
      </c>
      <c r="I80" s="3">
        <v>37</v>
      </c>
    </row>
    <row r="81" spans="1:9" x14ac:dyDescent="0.25">
      <c r="D81" t="s">
        <v>644</v>
      </c>
      <c r="G81" s="63">
        <v>41548</v>
      </c>
      <c r="H81" s="3" t="s">
        <v>109</v>
      </c>
      <c r="I81" s="3">
        <v>54</v>
      </c>
    </row>
    <row r="82" spans="1:9" x14ac:dyDescent="0.25">
      <c r="B82" s="66" t="s">
        <v>641</v>
      </c>
      <c r="C82" s="3">
        <v>45</v>
      </c>
      <c r="G82" s="63">
        <v>41546</v>
      </c>
      <c r="H82" s="3" t="s">
        <v>107</v>
      </c>
      <c r="I82" s="3">
        <v>135</v>
      </c>
    </row>
    <row r="83" spans="1:9" x14ac:dyDescent="0.25">
      <c r="G83" s="63">
        <v>41543</v>
      </c>
      <c r="H83" s="3" t="s">
        <v>110</v>
      </c>
      <c r="I83" s="3">
        <v>135</v>
      </c>
    </row>
    <row r="84" spans="1:9" x14ac:dyDescent="0.25">
      <c r="A84" s="5" t="s">
        <v>169</v>
      </c>
      <c r="B84" s="49" t="s">
        <v>85</v>
      </c>
      <c r="C84" s="17"/>
      <c r="D84" s="17"/>
      <c r="E84" s="18"/>
      <c r="G84" s="63">
        <v>41543</v>
      </c>
      <c r="H84" s="3" t="s">
        <v>120</v>
      </c>
      <c r="I84" s="3">
        <v>151</v>
      </c>
    </row>
    <row r="85" spans="1:9" x14ac:dyDescent="0.25">
      <c r="B85" s="50" t="s">
        <v>170</v>
      </c>
      <c r="C85" s="21"/>
      <c r="D85" s="21"/>
      <c r="E85" s="22"/>
      <c r="G85" s="63">
        <v>41544</v>
      </c>
      <c r="H85" s="3" t="s">
        <v>119</v>
      </c>
      <c r="I85" s="3">
        <v>50</v>
      </c>
    </row>
    <row r="86" spans="1:9" x14ac:dyDescent="0.25">
      <c r="B86" s="51" t="s">
        <v>87</v>
      </c>
      <c r="C86" s="21"/>
      <c r="D86" s="21"/>
      <c r="E86" s="22"/>
      <c r="G86" s="63">
        <v>41545</v>
      </c>
      <c r="H86" s="3" t="s">
        <v>119</v>
      </c>
      <c r="I86" s="3">
        <v>132</v>
      </c>
    </row>
    <row r="87" spans="1:9" x14ac:dyDescent="0.25">
      <c r="B87" s="67" t="s">
        <v>186</v>
      </c>
      <c r="C87" s="32"/>
      <c r="D87" s="25"/>
      <c r="E87" s="26"/>
      <c r="G87" s="63">
        <v>41547</v>
      </c>
      <c r="H87" s="3" t="s">
        <v>107</v>
      </c>
      <c r="I87" s="3">
        <v>172</v>
      </c>
    </row>
    <row r="88" spans="1:9" x14ac:dyDescent="0.25">
      <c r="B88" s="68" t="s">
        <v>171</v>
      </c>
      <c r="C88" s="69"/>
      <c r="D88" s="69"/>
      <c r="E88" s="70"/>
      <c r="G88" s="63">
        <v>41544</v>
      </c>
      <c r="H88" s="3" t="s">
        <v>116</v>
      </c>
      <c r="I88" s="3">
        <v>148</v>
      </c>
    </row>
    <row r="89" spans="1:9" x14ac:dyDescent="0.25">
      <c r="G89" s="63">
        <v>41548</v>
      </c>
      <c r="H89" s="3" t="s">
        <v>112</v>
      </c>
      <c r="I89" s="3">
        <v>121</v>
      </c>
    </row>
    <row r="90" spans="1:9" x14ac:dyDescent="0.25">
      <c r="B90" s="5" t="s">
        <v>172</v>
      </c>
      <c r="G90" s="63">
        <v>41543</v>
      </c>
      <c r="H90" s="3" t="s">
        <v>112</v>
      </c>
      <c r="I90" s="3">
        <v>99</v>
      </c>
    </row>
    <row r="91" spans="1:9" x14ac:dyDescent="0.25">
      <c r="B91" s="1" t="s">
        <v>128</v>
      </c>
      <c r="C91" s="1" t="s">
        <v>173</v>
      </c>
      <c r="D91" s="1" t="s">
        <v>175</v>
      </c>
      <c r="G91" s="63">
        <v>41545</v>
      </c>
      <c r="H91" s="3" t="s">
        <v>122</v>
      </c>
      <c r="I91" s="3">
        <v>77</v>
      </c>
    </row>
    <row r="92" spans="1:9" x14ac:dyDescent="0.25">
      <c r="B92" s="3" t="s">
        <v>178</v>
      </c>
      <c r="C92" s="53" t="str">
        <f>VLOOKUP($B$92,$B$97:$E$100,3,0)</f>
        <v>206-612-5025</v>
      </c>
      <c r="D92" s="53" t="str">
        <f>VLOOKUP($B$92,$B$97:$E$100,4,0)</f>
        <v>Jo-Jo@yahoo</v>
      </c>
      <c r="E92" t="s">
        <v>135</v>
      </c>
      <c r="G92" s="63">
        <v>41547</v>
      </c>
      <c r="H92" s="3" t="s">
        <v>116</v>
      </c>
      <c r="I92" s="3">
        <v>150</v>
      </c>
    </row>
    <row r="93" spans="1:9" x14ac:dyDescent="0.25">
      <c r="G93" s="63">
        <v>41543</v>
      </c>
      <c r="H93" s="3" t="s">
        <v>120</v>
      </c>
      <c r="I93" s="3">
        <v>42</v>
      </c>
    </row>
    <row r="94" spans="1:9" x14ac:dyDescent="0.25">
      <c r="G94" s="63">
        <v>41544</v>
      </c>
      <c r="H94" s="3" t="s">
        <v>107</v>
      </c>
      <c r="I94" s="3">
        <v>72</v>
      </c>
    </row>
    <row r="95" spans="1:9" x14ac:dyDescent="0.25">
      <c r="G95" s="63">
        <v>41544</v>
      </c>
      <c r="H95" s="3" t="s">
        <v>122</v>
      </c>
      <c r="I95" s="3">
        <v>73</v>
      </c>
    </row>
    <row r="96" spans="1:9" x14ac:dyDescent="0.25">
      <c r="B96" s="1" t="s">
        <v>128</v>
      </c>
      <c r="C96" s="1" t="s">
        <v>174</v>
      </c>
      <c r="D96" s="1" t="s">
        <v>173</v>
      </c>
      <c r="E96" s="1" t="s">
        <v>175</v>
      </c>
      <c r="G96" s="63">
        <v>41544</v>
      </c>
      <c r="H96" s="3" t="s">
        <v>120</v>
      </c>
      <c r="I96" s="3">
        <v>45</v>
      </c>
    </row>
    <row r="97" spans="1:18" x14ac:dyDescent="0.25">
      <c r="B97" s="3" t="s">
        <v>244</v>
      </c>
      <c r="C97" s="71">
        <v>40306</v>
      </c>
      <c r="D97" s="3" t="s">
        <v>179</v>
      </c>
      <c r="E97" s="3" t="s">
        <v>645</v>
      </c>
      <c r="G97" s="63">
        <v>41545</v>
      </c>
      <c r="H97" s="3" t="s">
        <v>111</v>
      </c>
      <c r="I97" s="3">
        <v>94</v>
      </c>
    </row>
    <row r="98" spans="1:18" x14ac:dyDescent="0.25">
      <c r="B98" s="3" t="s">
        <v>176</v>
      </c>
      <c r="C98" s="71">
        <v>35965</v>
      </c>
      <c r="D98" s="3" t="s">
        <v>180</v>
      </c>
      <c r="E98" s="3" t="s">
        <v>183</v>
      </c>
      <c r="G98" s="63">
        <v>41544</v>
      </c>
      <c r="H98" s="3" t="s">
        <v>114</v>
      </c>
      <c r="I98" s="3">
        <v>110</v>
      </c>
    </row>
    <row r="99" spans="1:18" x14ac:dyDescent="0.25">
      <c r="B99" s="3" t="s">
        <v>177</v>
      </c>
      <c r="C99" s="71">
        <v>39288</v>
      </c>
      <c r="D99" s="3" t="s">
        <v>181</v>
      </c>
      <c r="E99" s="3" t="s">
        <v>184</v>
      </c>
      <c r="G99" s="63">
        <v>41546</v>
      </c>
      <c r="H99" s="3" t="s">
        <v>108</v>
      </c>
      <c r="I99" s="3">
        <v>54</v>
      </c>
    </row>
    <row r="100" spans="1:18" x14ac:dyDescent="0.25">
      <c r="B100" s="3" t="s">
        <v>178</v>
      </c>
      <c r="C100" s="71">
        <v>41090</v>
      </c>
      <c r="D100" s="3" t="s">
        <v>182</v>
      </c>
      <c r="E100" s="3" t="s">
        <v>185</v>
      </c>
      <c r="G100" s="63">
        <v>41545</v>
      </c>
      <c r="H100" s="3" t="s">
        <v>121</v>
      </c>
      <c r="I100" s="3">
        <v>135</v>
      </c>
    </row>
    <row r="101" spans="1:18" x14ac:dyDescent="0.25">
      <c r="G101" s="63">
        <v>41548</v>
      </c>
      <c r="H101" s="3" t="s">
        <v>121</v>
      </c>
      <c r="I101" s="3">
        <v>120</v>
      </c>
    </row>
    <row r="102" spans="1:18" x14ac:dyDescent="0.25">
      <c r="A102" s="5" t="s">
        <v>189</v>
      </c>
      <c r="B102" s="49" t="s">
        <v>85</v>
      </c>
      <c r="C102" s="17"/>
      <c r="D102" s="17"/>
      <c r="E102" s="18"/>
      <c r="G102" s="63">
        <v>41544</v>
      </c>
      <c r="H102" s="3" t="s">
        <v>116</v>
      </c>
      <c r="I102" s="3">
        <v>58</v>
      </c>
    </row>
    <row r="103" spans="1:18" x14ac:dyDescent="0.25">
      <c r="B103" s="50" t="s">
        <v>86</v>
      </c>
      <c r="C103" s="21"/>
      <c r="D103" s="21"/>
      <c r="E103" s="22"/>
      <c r="G103" s="63">
        <v>41543</v>
      </c>
      <c r="H103" s="3" t="s">
        <v>122</v>
      </c>
      <c r="I103" s="3">
        <v>46</v>
      </c>
    </row>
    <row r="104" spans="1:18" x14ac:dyDescent="0.25">
      <c r="B104" s="51" t="s">
        <v>87</v>
      </c>
      <c r="C104" s="21"/>
      <c r="D104" s="21"/>
      <c r="E104" s="22"/>
      <c r="G104" s="63">
        <v>41547</v>
      </c>
      <c r="H104" s="3" t="s">
        <v>107</v>
      </c>
      <c r="I104" s="3">
        <v>16</v>
      </c>
    </row>
    <row r="105" spans="1:18" x14ac:dyDescent="0.25">
      <c r="B105" s="67" t="s">
        <v>192</v>
      </c>
      <c r="C105" s="73"/>
      <c r="D105" s="25"/>
      <c r="E105" s="26"/>
      <c r="G105" s="63">
        <v>41547</v>
      </c>
      <c r="H105" s="3" t="s">
        <v>119</v>
      </c>
      <c r="I105" s="3">
        <v>138</v>
      </c>
    </row>
    <row r="106" spans="1:18" x14ac:dyDescent="0.25">
      <c r="B106" s="52" t="s">
        <v>193</v>
      </c>
      <c r="C106" s="74">
        <v>60000</v>
      </c>
      <c r="G106" s="63">
        <v>41548</v>
      </c>
      <c r="H106" s="3" t="s">
        <v>111</v>
      </c>
      <c r="I106" s="3">
        <v>25</v>
      </c>
    </row>
    <row r="107" spans="1:18" x14ac:dyDescent="0.25">
      <c r="B107" s="52" t="s">
        <v>194</v>
      </c>
      <c r="C107" s="74">
        <v>18360</v>
      </c>
      <c r="G107" s="63">
        <v>41543</v>
      </c>
      <c r="H107" s="3" t="s">
        <v>114</v>
      </c>
      <c r="I107" s="3">
        <v>140</v>
      </c>
    </row>
    <row r="108" spans="1:18" x14ac:dyDescent="0.25">
      <c r="B108" s="52" t="s">
        <v>646</v>
      </c>
      <c r="C108" s="74">
        <v>7000</v>
      </c>
      <c r="G108" s="63">
        <v>41545</v>
      </c>
      <c r="H108" s="3" t="s">
        <v>109</v>
      </c>
      <c r="I108" s="3">
        <v>11</v>
      </c>
    </row>
    <row r="109" spans="1:18" x14ac:dyDescent="0.25">
      <c r="B109" s="52" t="s">
        <v>195</v>
      </c>
      <c r="C109" s="74">
        <v>32088</v>
      </c>
      <c r="G109" s="63">
        <v>41545</v>
      </c>
      <c r="H109" s="3" t="s">
        <v>116</v>
      </c>
      <c r="I109" s="3">
        <v>79</v>
      </c>
    </row>
    <row r="110" spans="1:18" ht="15.75" thickBot="1" x14ac:dyDescent="0.3">
      <c r="B110" s="60" t="s">
        <v>196</v>
      </c>
      <c r="C110" s="75">
        <v>312</v>
      </c>
      <c r="G110" s="63">
        <v>41543</v>
      </c>
      <c r="H110" s="3" t="s">
        <v>112</v>
      </c>
      <c r="I110" s="3">
        <v>145</v>
      </c>
    </row>
    <row r="111" spans="1:18" ht="15.75" thickBot="1" x14ac:dyDescent="0.3">
      <c r="B111" s="76" t="s">
        <v>197</v>
      </c>
      <c r="C111" s="77">
        <f>C106-SUM(C107:C110)</f>
        <v>2240</v>
      </c>
      <c r="D111" s="202">
        <f>C106-C107-C109-C110</f>
        <v>9240</v>
      </c>
      <c r="E111" t="s">
        <v>88</v>
      </c>
      <c r="G111" s="63">
        <v>41546</v>
      </c>
      <c r="H111" s="3" t="s">
        <v>117</v>
      </c>
      <c r="I111" s="3">
        <v>170</v>
      </c>
    </row>
    <row r="112" spans="1:18" ht="15.75" thickTop="1" x14ac:dyDescent="0.25">
      <c r="A112" s="5" t="s">
        <v>191</v>
      </c>
      <c r="B112" s="49" t="s">
        <v>85</v>
      </c>
      <c r="C112" s="17"/>
      <c r="D112" s="17"/>
      <c r="E112" s="18"/>
      <c r="G112" s="63">
        <v>41547</v>
      </c>
      <c r="H112" s="3" t="s">
        <v>109</v>
      </c>
      <c r="I112" s="3">
        <v>17</v>
      </c>
      <c r="K112" s="81" t="s">
        <v>209</v>
      </c>
      <c r="L112" s="82"/>
      <c r="M112" s="82"/>
      <c r="N112" s="82"/>
      <c r="O112" s="82"/>
      <c r="P112" s="82"/>
      <c r="Q112" s="82"/>
      <c r="R112" s="83"/>
    </row>
    <row r="113" spans="2:18" x14ac:dyDescent="0.25">
      <c r="B113" s="50" t="s">
        <v>204</v>
      </c>
      <c r="C113" s="21"/>
      <c r="D113" s="21"/>
      <c r="E113" s="22"/>
      <c r="G113" s="63">
        <v>41544</v>
      </c>
      <c r="H113" s="3" t="s">
        <v>107</v>
      </c>
      <c r="I113" s="3">
        <v>136</v>
      </c>
      <c r="K113" s="84" t="s">
        <v>210</v>
      </c>
      <c r="L113" s="85"/>
      <c r="M113" s="85"/>
      <c r="N113" s="85"/>
      <c r="O113" s="85"/>
      <c r="P113" s="85"/>
      <c r="Q113" s="85"/>
      <c r="R113" s="86"/>
    </row>
    <row r="114" spans="2:18" x14ac:dyDescent="0.25">
      <c r="B114" s="41" t="s">
        <v>205</v>
      </c>
      <c r="C114" s="21"/>
      <c r="D114" s="21"/>
      <c r="E114" s="22"/>
      <c r="G114" s="63">
        <v>41547</v>
      </c>
      <c r="H114" s="3" t="s">
        <v>120</v>
      </c>
      <c r="I114" s="3">
        <v>172</v>
      </c>
      <c r="K114" s="84" t="s">
        <v>211</v>
      </c>
      <c r="L114" s="85"/>
      <c r="M114" s="85"/>
      <c r="N114" s="85"/>
      <c r="O114" s="85"/>
      <c r="P114" s="85"/>
      <c r="Q114" s="85"/>
      <c r="R114" s="86"/>
    </row>
    <row r="115" spans="2:18" x14ac:dyDescent="0.25">
      <c r="B115" s="80" t="s">
        <v>206</v>
      </c>
      <c r="C115" s="21"/>
      <c r="D115" s="21"/>
      <c r="E115" s="22"/>
      <c r="G115" s="63">
        <v>41544</v>
      </c>
      <c r="H115" s="3" t="s">
        <v>119</v>
      </c>
      <c r="I115" s="3">
        <v>107</v>
      </c>
      <c r="K115" s="84" t="s">
        <v>212</v>
      </c>
      <c r="L115" s="85"/>
      <c r="M115" s="85"/>
      <c r="N115" s="85"/>
      <c r="O115" s="85"/>
      <c r="P115" s="85"/>
      <c r="Q115" s="85"/>
      <c r="R115" s="86"/>
    </row>
    <row r="116" spans="2:18" x14ac:dyDescent="0.25">
      <c r="B116" s="41" t="s">
        <v>207</v>
      </c>
      <c r="C116" s="21"/>
      <c r="D116" s="21"/>
      <c r="E116" s="22"/>
      <c r="G116" s="63">
        <v>41547</v>
      </c>
      <c r="H116" s="3" t="s">
        <v>115</v>
      </c>
      <c r="I116" s="3">
        <v>107</v>
      </c>
      <c r="K116" s="84" t="s">
        <v>213</v>
      </c>
      <c r="L116" s="85"/>
      <c r="M116" s="85"/>
      <c r="N116" s="85"/>
      <c r="O116" s="85"/>
      <c r="P116" s="85"/>
      <c r="Q116" s="85"/>
      <c r="R116" s="86"/>
    </row>
    <row r="117" spans="2:18" x14ac:dyDescent="0.25">
      <c r="B117" s="41" t="s">
        <v>208</v>
      </c>
      <c r="C117" s="21"/>
      <c r="D117" s="21"/>
      <c r="E117" s="22"/>
      <c r="G117" s="63">
        <v>41546</v>
      </c>
      <c r="H117" s="3" t="s">
        <v>119</v>
      </c>
      <c r="I117" s="3">
        <v>87</v>
      </c>
      <c r="K117" s="84" t="s">
        <v>214</v>
      </c>
      <c r="L117" s="85"/>
      <c r="M117" s="85"/>
      <c r="N117" s="85"/>
      <c r="O117" s="85"/>
      <c r="P117" s="85"/>
      <c r="Q117" s="85"/>
      <c r="R117" s="86"/>
    </row>
    <row r="118" spans="2:18" x14ac:dyDescent="0.25">
      <c r="B118" s="51" t="s">
        <v>87</v>
      </c>
      <c r="C118" s="21"/>
      <c r="D118" s="21"/>
      <c r="E118" s="22"/>
      <c r="G118" s="63">
        <v>41543</v>
      </c>
      <c r="H118" s="3" t="s">
        <v>113</v>
      </c>
      <c r="I118" s="3">
        <v>106</v>
      </c>
      <c r="K118" s="84" t="s">
        <v>215</v>
      </c>
      <c r="L118" s="85"/>
      <c r="M118" s="85"/>
      <c r="N118" s="85"/>
      <c r="O118" s="85"/>
      <c r="P118" s="85"/>
      <c r="Q118" s="85"/>
      <c r="R118" s="86"/>
    </row>
    <row r="119" spans="2:18" x14ac:dyDescent="0.25">
      <c r="B119" s="67" t="s">
        <v>198</v>
      </c>
      <c r="C119" s="32"/>
      <c r="D119" s="25"/>
      <c r="E119" s="26"/>
      <c r="G119" s="63">
        <v>41545</v>
      </c>
      <c r="H119" s="3" t="s">
        <v>109</v>
      </c>
      <c r="I119" s="3">
        <v>84</v>
      </c>
      <c r="K119" s="84" t="s">
        <v>216</v>
      </c>
      <c r="L119" s="85"/>
      <c r="M119" s="85"/>
      <c r="N119" s="85"/>
      <c r="O119" s="85"/>
      <c r="P119" s="85"/>
      <c r="Q119" s="85"/>
      <c r="R119" s="86"/>
    </row>
    <row r="120" spans="2:18" x14ac:dyDescent="0.25">
      <c r="B120" s="1" t="s">
        <v>190</v>
      </c>
      <c r="C120" s="53">
        <f>SUM(LARGE(D123:D135,{1,2,3}))</f>
        <v>506</v>
      </c>
      <c r="E120" t="s">
        <v>88</v>
      </c>
      <c r="G120" s="63">
        <v>41545</v>
      </c>
      <c r="H120" s="3" t="s">
        <v>113</v>
      </c>
      <c r="I120" s="3">
        <v>11</v>
      </c>
      <c r="K120" s="87" t="s">
        <v>217</v>
      </c>
      <c r="L120" s="88"/>
      <c r="M120" s="88"/>
      <c r="N120" s="88"/>
      <c r="O120" s="88"/>
      <c r="P120" s="88"/>
      <c r="Q120" s="88"/>
      <c r="R120" s="89"/>
    </row>
    <row r="121" spans="2:18" x14ac:dyDescent="0.25">
      <c r="D121">
        <f>D135+D131+D124</f>
        <v>506</v>
      </c>
      <c r="G121" s="63">
        <v>41544</v>
      </c>
      <c r="H121" s="3" t="s">
        <v>114</v>
      </c>
      <c r="I121" s="3">
        <v>98</v>
      </c>
    </row>
    <row r="122" spans="2:18" x14ac:dyDescent="0.25">
      <c r="B122" s="1" t="s">
        <v>103</v>
      </c>
      <c r="C122" s="1" t="s">
        <v>104</v>
      </c>
      <c r="D122" s="1" t="s">
        <v>105</v>
      </c>
      <c r="G122" s="63">
        <v>41544</v>
      </c>
      <c r="H122" s="3" t="s">
        <v>110</v>
      </c>
      <c r="I122" s="3">
        <v>135</v>
      </c>
    </row>
    <row r="123" spans="2:18" x14ac:dyDescent="0.25">
      <c r="B123" s="63">
        <v>41544</v>
      </c>
      <c r="C123" s="3" t="s">
        <v>117</v>
      </c>
      <c r="D123" s="3">
        <v>39</v>
      </c>
      <c r="G123" s="63">
        <v>41545</v>
      </c>
      <c r="H123" s="3" t="s">
        <v>115</v>
      </c>
      <c r="I123" s="3">
        <v>27</v>
      </c>
    </row>
    <row r="124" spans="2:18" x14ac:dyDescent="0.25">
      <c r="B124" s="63">
        <v>41543</v>
      </c>
      <c r="C124" s="3" t="s">
        <v>117</v>
      </c>
      <c r="D124" s="3">
        <v>164</v>
      </c>
      <c r="G124" s="63">
        <v>41546</v>
      </c>
      <c r="H124" s="3" t="s">
        <v>122</v>
      </c>
      <c r="I124" s="3">
        <v>170</v>
      </c>
    </row>
    <row r="125" spans="2:18" x14ac:dyDescent="0.25">
      <c r="B125" s="63">
        <v>41546</v>
      </c>
      <c r="C125" s="3" t="s">
        <v>117</v>
      </c>
      <c r="D125" s="3">
        <v>55</v>
      </c>
      <c r="G125" s="63">
        <v>41545</v>
      </c>
      <c r="H125" s="3" t="s">
        <v>110</v>
      </c>
      <c r="I125" s="3">
        <v>159</v>
      </c>
    </row>
    <row r="126" spans="2:18" x14ac:dyDescent="0.25">
      <c r="B126" s="63">
        <v>41546</v>
      </c>
      <c r="C126" s="3" t="s">
        <v>117</v>
      </c>
      <c r="D126" s="3">
        <v>88</v>
      </c>
      <c r="G126" s="63">
        <v>41547</v>
      </c>
      <c r="H126" s="3" t="s">
        <v>114</v>
      </c>
      <c r="I126" s="3">
        <v>11</v>
      </c>
    </row>
    <row r="127" spans="2:18" x14ac:dyDescent="0.25">
      <c r="B127" s="63">
        <v>41543</v>
      </c>
      <c r="C127" s="3" t="s">
        <v>117</v>
      </c>
      <c r="D127" s="3">
        <v>156</v>
      </c>
      <c r="G127" s="63">
        <v>41546</v>
      </c>
      <c r="H127" s="3" t="s">
        <v>119</v>
      </c>
      <c r="I127" s="3">
        <v>34</v>
      </c>
    </row>
    <row r="128" spans="2:18" x14ac:dyDescent="0.25">
      <c r="B128" s="63">
        <v>41544</v>
      </c>
      <c r="C128" s="3" t="s">
        <v>117</v>
      </c>
      <c r="D128" s="3">
        <v>126</v>
      </c>
      <c r="G128" s="63">
        <v>41546</v>
      </c>
      <c r="H128" s="3" t="s">
        <v>107</v>
      </c>
      <c r="I128" s="3">
        <v>126</v>
      </c>
    </row>
    <row r="129" spans="1:9" x14ac:dyDescent="0.25">
      <c r="B129" s="63">
        <v>41548</v>
      </c>
      <c r="C129" s="3" t="s">
        <v>117</v>
      </c>
      <c r="D129" s="3">
        <v>139</v>
      </c>
      <c r="G129" s="63">
        <v>41544</v>
      </c>
      <c r="H129" s="3" t="s">
        <v>113</v>
      </c>
      <c r="I129" s="3">
        <v>90</v>
      </c>
    </row>
    <row r="130" spans="1:9" x14ac:dyDescent="0.25">
      <c r="B130" s="63">
        <v>41548</v>
      </c>
      <c r="C130" s="3" t="s">
        <v>117</v>
      </c>
      <c r="D130" s="3">
        <v>107</v>
      </c>
      <c r="G130" s="63">
        <v>41545</v>
      </c>
      <c r="H130" s="3" t="s">
        <v>108</v>
      </c>
      <c r="I130" s="3">
        <v>117</v>
      </c>
    </row>
    <row r="131" spans="1:9" x14ac:dyDescent="0.25">
      <c r="B131" s="63">
        <v>41546</v>
      </c>
      <c r="C131" s="3" t="s">
        <v>117</v>
      </c>
      <c r="D131" s="3">
        <v>170</v>
      </c>
      <c r="G131" s="63">
        <v>41547</v>
      </c>
      <c r="H131" s="3" t="s">
        <v>114</v>
      </c>
      <c r="I131" s="3">
        <v>139</v>
      </c>
    </row>
    <row r="132" spans="1:9" x14ac:dyDescent="0.25">
      <c r="B132" s="63">
        <v>41543</v>
      </c>
      <c r="C132" s="3" t="s">
        <v>117</v>
      </c>
      <c r="D132" s="3">
        <v>129</v>
      </c>
      <c r="G132" s="63">
        <v>41547</v>
      </c>
      <c r="H132" s="3" t="s">
        <v>120</v>
      </c>
      <c r="I132" s="3">
        <v>70</v>
      </c>
    </row>
    <row r="133" spans="1:9" x14ac:dyDescent="0.25">
      <c r="B133" s="63">
        <v>41545</v>
      </c>
      <c r="C133" s="3" t="s">
        <v>117</v>
      </c>
      <c r="D133" s="3">
        <v>46</v>
      </c>
      <c r="G133" s="63">
        <v>41544</v>
      </c>
      <c r="H133" s="3" t="s">
        <v>113</v>
      </c>
      <c r="I133" s="3">
        <v>172</v>
      </c>
    </row>
    <row r="134" spans="1:9" x14ac:dyDescent="0.25">
      <c r="B134" s="63">
        <v>41546</v>
      </c>
      <c r="C134" s="3" t="s">
        <v>117</v>
      </c>
      <c r="D134" s="3">
        <v>61</v>
      </c>
      <c r="G134" s="63">
        <v>41548</v>
      </c>
      <c r="H134" s="3" t="s">
        <v>116</v>
      </c>
      <c r="I134" s="3">
        <v>132</v>
      </c>
    </row>
    <row r="135" spans="1:9" x14ac:dyDescent="0.25">
      <c r="B135" s="63">
        <v>41544</v>
      </c>
      <c r="C135" s="3" t="s">
        <v>117</v>
      </c>
      <c r="D135" s="3">
        <v>172</v>
      </c>
      <c r="G135" s="63">
        <v>41546</v>
      </c>
      <c r="H135" s="3" t="s">
        <v>115</v>
      </c>
      <c r="I135" s="3">
        <v>81</v>
      </c>
    </row>
    <row r="136" spans="1:9" x14ac:dyDescent="0.25">
      <c r="B136" s="63">
        <v>41548</v>
      </c>
      <c r="C136" s="3" t="s">
        <v>117</v>
      </c>
      <c r="D136" s="3">
        <v>161</v>
      </c>
      <c r="G136" s="63">
        <v>41543</v>
      </c>
      <c r="H136" s="3" t="s">
        <v>117</v>
      </c>
      <c r="I136" s="3">
        <v>129</v>
      </c>
    </row>
    <row r="137" spans="1:9" x14ac:dyDescent="0.25">
      <c r="G137" s="63">
        <v>41548</v>
      </c>
      <c r="H137" s="3" t="s">
        <v>111</v>
      </c>
      <c r="I137" s="3">
        <v>38</v>
      </c>
    </row>
    <row r="138" spans="1:9" x14ac:dyDescent="0.25">
      <c r="A138" s="5" t="s">
        <v>628</v>
      </c>
      <c r="B138" s="49" t="s">
        <v>85</v>
      </c>
      <c r="C138" s="17"/>
      <c r="D138" s="17"/>
      <c r="E138" s="18"/>
      <c r="G138" s="63">
        <v>41548</v>
      </c>
      <c r="H138" s="3" t="s">
        <v>108</v>
      </c>
      <c r="I138" s="3">
        <v>81</v>
      </c>
    </row>
    <row r="139" spans="1:9" x14ac:dyDescent="0.25">
      <c r="B139" s="50" t="s">
        <v>613</v>
      </c>
      <c r="C139" s="21"/>
      <c r="D139" s="21"/>
      <c r="E139" s="22"/>
      <c r="G139" s="63">
        <v>41543</v>
      </c>
      <c r="H139" s="3" t="s">
        <v>114</v>
      </c>
      <c r="I139" s="3">
        <v>72</v>
      </c>
    </row>
    <row r="140" spans="1:9" x14ac:dyDescent="0.25">
      <c r="B140" s="51" t="s">
        <v>87</v>
      </c>
      <c r="C140" s="21"/>
      <c r="D140" s="21"/>
      <c r="E140" s="22"/>
      <c r="G140" s="63">
        <v>41545</v>
      </c>
      <c r="H140" s="3" t="s">
        <v>108</v>
      </c>
      <c r="I140" s="3">
        <v>131</v>
      </c>
    </row>
    <row r="141" spans="1:9" x14ac:dyDescent="0.25">
      <c r="B141" s="67" t="s">
        <v>631</v>
      </c>
      <c r="C141" s="32"/>
      <c r="D141" s="25"/>
      <c r="E141" s="26"/>
      <c r="G141" s="63">
        <v>41547</v>
      </c>
      <c r="H141" s="3" t="s">
        <v>110</v>
      </c>
      <c r="I141" s="3">
        <v>61</v>
      </c>
    </row>
    <row r="142" spans="1:9" x14ac:dyDescent="0.25">
      <c r="E142" t="s">
        <v>88</v>
      </c>
      <c r="G142" s="63">
        <v>41546</v>
      </c>
      <c r="H142" s="3" t="s">
        <v>110</v>
      </c>
      <c r="I142" s="3">
        <v>17</v>
      </c>
    </row>
    <row r="143" spans="1:9" x14ac:dyDescent="0.25">
      <c r="B143" s="1" t="s">
        <v>243</v>
      </c>
      <c r="C143" s="1" t="s">
        <v>632</v>
      </c>
      <c r="D143" s="1" t="s">
        <v>633</v>
      </c>
      <c r="G143" s="63">
        <v>41545</v>
      </c>
      <c r="H143" s="3" t="s">
        <v>112</v>
      </c>
      <c r="I143" s="3">
        <v>168</v>
      </c>
    </row>
    <row r="144" spans="1:9" x14ac:dyDescent="0.25">
      <c r="B144" s="3" t="s">
        <v>635</v>
      </c>
      <c r="C144" s="3" t="s">
        <v>639</v>
      </c>
      <c r="D144" s="64">
        <f>SUMIFS(D147:D155,B147:B155,B144,C147:C155,C144)</f>
        <v>955</v>
      </c>
      <c r="G144" s="63">
        <v>41544</v>
      </c>
      <c r="H144" s="3" t="s">
        <v>111</v>
      </c>
      <c r="I144" s="3">
        <v>135</v>
      </c>
    </row>
    <row r="145" spans="1:9" x14ac:dyDescent="0.25">
      <c r="G145" s="63">
        <v>41543</v>
      </c>
      <c r="H145" s="3" t="s">
        <v>116</v>
      </c>
      <c r="I145" s="3">
        <v>128</v>
      </c>
    </row>
    <row r="146" spans="1:9" x14ac:dyDescent="0.25">
      <c r="B146" s="1" t="s">
        <v>243</v>
      </c>
      <c r="C146" s="1" t="s">
        <v>638</v>
      </c>
      <c r="D146" s="1" t="s">
        <v>647</v>
      </c>
      <c r="G146" s="63">
        <v>41548</v>
      </c>
      <c r="H146" s="3" t="s">
        <v>111</v>
      </c>
      <c r="I146" s="3">
        <v>132</v>
      </c>
    </row>
    <row r="147" spans="1:9" x14ac:dyDescent="0.25">
      <c r="B147" s="3" t="s">
        <v>634</v>
      </c>
      <c r="C147" s="3" t="s">
        <v>636</v>
      </c>
      <c r="D147" s="3">
        <v>493</v>
      </c>
      <c r="G147" s="63">
        <v>41544</v>
      </c>
      <c r="H147" s="3" t="s">
        <v>116</v>
      </c>
      <c r="I147" s="3">
        <v>143</v>
      </c>
    </row>
    <row r="148" spans="1:9" x14ac:dyDescent="0.25">
      <c r="B148" s="3" t="s">
        <v>635</v>
      </c>
      <c r="C148" s="3" t="s">
        <v>637</v>
      </c>
      <c r="D148" s="3">
        <v>209</v>
      </c>
      <c r="G148" s="63">
        <v>41546</v>
      </c>
      <c r="H148" s="3" t="s">
        <v>107</v>
      </c>
      <c r="I148" s="3">
        <v>13</v>
      </c>
    </row>
    <row r="149" spans="1:9" x14ac:dyDescent="0.25">
      <c r="B149" s="3" t="s">
        <v>634</v>
      </c>
      <c r="C149" s="3" t="s">
        <v>639</v>
      </c>
      <c r="D149" s="3">
        <v>589</v>
      </c>
      <c r="G149" s="63">
        <v>41546</v>
      </c>
      <c r="H149" s="3" t="s">
        <v>108</v>
      </c>
      <c r="I149" s="3">
        <v>96</v>
      </c>
    </row>
    <row r="150" spans="1:9" x14ac:dyDescent="0.25">
      <c r="B150" s="3" t="s">
        <v>634</v>
      </c>
      <c r="C150" s="3" t="s">
        <v>636</v>
      </c>
      <c r="D150" s="3">
        <v>202</v>
      </c>
      <c r="G150" s="63">
        <v>41548</v>
      </c>
      <c r="H150" s="3" t="s">
        <v>122</v>
      </c>
      <c r="I150" s="3">
        <v>75</v>
      </c>
    </row>
    <row r="151" spans="1:9" x14ac:dyDescent="0.25">
      <c r="B151" s="3" t="s">
        <v>635</v>
      </c>
      <c r="C151" s="3" t="s">
        <v>636</v>
      </c>
      <c r="D151" s="3">
        <v>269</v>
      </c>
      <c r="G151" s="63">
        <v>41548</v>
      </c>
      <c r="H151" s="3" t="s">
        <v>119</v>
      </c>
      <c r="I151" s="3">
        <v>63</v>
      </c>
    </row>
    <row r="152" spans="1:9" x14ac:dyDescent="0.25">
      <c r="B152" s="3" t="s">
        <v>635</v>
      </c>
      <c r="C152" s="3" t="s">
        <v>639</v>
      </c>
      <c r="D152" s="3">
        <v>293</v>
      </c>
      <c r="G152" s="63">
        <v>41545</v>
      </c>
      <c r="H152" s="3" t="s">
        <v>109</v>
      </c>
      <c r="I152" s="3">
        <v>50</v>
      </c>
    </row>
    <row r="153" spans="1:9" x14ac:dyDescent="0.25">
      <c r="B153" s="3" t="s">
        <v>635</v>
      </c>
      <c r="C153" s="3" t="s">
        <v>639</v>
      </c>
      <c r="D153" s="3">
        <v>662</v>
      </c>
      <c r="G153" s="63">
        <v>41543</v>
      </c>
      <c r="H153" s="3" t="s">
        <v>120</v>
      </c>
      <c r="I153" s="3">
        <v>116</v>
      </c>
    </row>
    <row r="154" spans="1:9" x14ac:dyDescent="0.25">
      <c r="B154" s="3" t="s">
        <v>634</v>
      </c>
      <c r="C154" s="3" t="s">
        <v>637</v>
      </c>
      <c r="D154" s="3">
        <v>317</v>
      </c>
      <c r="G154" s="63">
        <v>41548</v>
      </c>
      <c r="H154" s="3" t="s">
        <v>112</v>
      </c>
      <c r="I154" s="3">
        <v>130</v>
      </c>
    </row>
    <row r="155" spans="1:9" x14ac:dyDescent="0.25">
      <c r="B155" s="3" t="s">
        <v>634</v>
      </c>
      <c r="C155" s="3" t="s">
        <v>637</v>
      </c>
      <c r="D155" s="3">
        <v>207</v>
      </c>
      <c r="G155" s="63">
        <v>41546</v>
      </c>
      <c r="H155" s="3" t="s">
        <v>122</v>
      </c>
      <c r="I155" s="3">
        <v>71</v>
      </c>
    </row>
    <row r="156" spans="1:9" x14ac:dyDescent="0.25">
      <c r="G156" s="63">
        <v>41546</v>
      </c>
      <c r="H156" s="3" t="s">
        <v>114</v>
      </c>
      <c r="I156" s="3">
        <v>159</v>
      </c>
    </row>
    <row r="157" spans="1:9" x14ac:dyDescent="0.25">
      <c r="G157" s="63">
        <v>41544</v>
      </c>
      <c r="H157" s="3" t="s">
        <v>115</v>
      </c>
      <c r="I157" s="3">
        <v>167</v>
      </c>
    </row>
    <row r="158" spans="1:9" x14ac:dyDescent="0.25">
      <c r="A158" s="5" t="s">
        <v>629</v>
      </c>
      <c r="B158" s="49" t="s">
        <v>85</v>
      </c>
      <c r="C158" s="17"/>
      <c r="D158" s="17"/>
      <c r="E158" s="18"/>
      <c r="G158" s="63">
        <v>41548</v>
      </c>
      <c r="H158" s="3" t="s">
        <v>111</v>
      </c>
      <c r="I158" s="3">
        <v>42</v>
      </c>
    </row>
    <row r="159" spans="1:9" x14ac:dyDescent="0.25">
      <c r="B159" s="50" t="s">
        <v>613</v>
      </c>
      <c r="C159" s="21"/>
      <c r="D159" s="21"/>
      <c r="E159" s="22"/>
      <c r="G159" s="63">
        <v>41547</v>
      </c>
      <c r="H159" s="3" t="s">
        <v>107</v>
      </c>
      <c r="I159" s="3">
        <v>99</v>
      </c>
    </row>
    <row r="160" spans="1:9" x14ac:dyDescent="0.25">
      <c r="B160" s="51" t="s">
        <v>87</v>
      </c>
      <c r="C160" s="21"/>
      <c r="D160" s="21"/>
      <c r="E160" s="22"/>
      <c r="G160" s="63">
        <v>41546</v>
      </c>
      <c r="H160" s="3" t="s">
        <v>109</v>
      </c>
      <c r="I160" s="3">
        <v>168</v>
      </c>
    </row>
    <row r="161" spans="2:9" x14ac:dyDescent="0.25">
      <c r="B161" s="67" t="s">
        <v>630</v>
      </c>
      <c r="C161" s="32"/>
      <c r="D161" s="25"/>
      <c r="E161" s="26"/>
      <c r="G161" s="63">
        <v>41545</v>
      </c>
      <c r="H161" s="3" t="s">
        <v>120</v>
      </c>
      <c r="I161" s="3">
        <v>153</v>
      </c>
    </row>
    <row r="162" spans="2:9" x14ac:dyDescent="0.25">
      <c r="E162" t="s">
        <v>88</v>
      </c>
      <c r="G162" s="63">
        <v>41545</v>
      </c>
      <c r="H162" s="3" t="s">
        <v>108</v>
      </c>
      <c r="I162" s="3">
        <v>116</v>
      </c>
    </row>
    <row r="163" spans="2:9" x14ac:dyDescent="0.25">
      <c r="B163" s="66" t="s">
        <v>616</v>
      </c>
      <c r="C163" s="66" t="s">
        <v>617</v>
      </c>
      <c r="D163" s="1" t="s">
        <v>615</v>
      </c>
      <c r="G163" s="63">
        <v>41544</v>
      </c>
      <c r="H163" s="3" t="s">
        <v>113</v>
      </c>
      <c r="I163" s="3">
        <v>11</v>
      </c>
    </row>
    <row r="164" spans="2:9" x14ac:dyDescent="0.25">
      <c r="B164" s="3" t="s">
        <v>618</v>
      </c>
      <c r="C164" s="3" t="s">
        <v>619</v>
      </c>
      <c r="D164" s="64">
        <f>COUNTIFS($B$171:$B$181,B164,$B$171:$B$181,C164)</f>
        <v>2</v>
      </c>
      <c r="G164" s="63">
        <v>41548</v>
      </c>
      <c r="H164" s="3" t="s">
        <v>112</v>
      </c>
      <c r="I164" s="3">
        <v>12</v>
      </c>
    </row>
    <row r="165" spans="2:9" x14ac:dyDescent="0.25">
      <c r="B165" s="3" t="s">
        <v>620</v>
      </c>
      <c r="C165" s="3" t="s">
        <v>621</v>
      </c>
      <c r="D165" s="64">
        <f t="shared" ref="D165:D168" si="5">COUNTIFS($B$171:$B$181,B165,$B$171:$B$181,C165)</f>
        <v>3</v>
      </c>
      <c r="G165" s="63">
        <v>41543</v>
      </c>
      <c r="H165" s="3" t="s">
        <v>121</v>
      </c>
      <c r="I165" s="3">
        <v>111</v>
      </c>
    </row>
    <row r="166" spans="2:9" x14ac:dyDescent="0.25">
      <c r="B166" s="3" t="s">
        <v>622</v>
      </c>
      <c r="C166" s="3" t="s">
        <v>623</v>
      </c>
      <c r="D166" s="64">
        <f>COUNTIFS($B$171:$B$181,B166,$B$171:$B$181,C166)</f>
        <v>4</v>
      </c>
      <c r="G166" s="63">
        <v>41543</v>
      </c>
      <c r="H166" s="3" t="s">
        <v>113</v>
      </c>
      <c r="I166" s="3">
        <v>170</v>
      </c>
    </row>
    <row r="167" spans="2:9" x14ac:dyDescent="0.25">
      <c r="B167" s="3" t="s">
        <v>625</v>
      </c>
      <c r="C167" s="3" t="s">
        <v>624</v>
      </c>
      <c r="D167" s="64">
        <f t="shared" si="5"/>
        <v>1</v>
      </c>
      <c r="G167" s="63">
        <v>41544</v>
      </c>
      <c r="H167" s="3" t="s">
        <v>113</v>
      </c>
      <c r="I167" s="3">
        <v>116</v>
      </c>
    </row>
    <row r="168" spans="2:9" x14ac:dyDescent="0.25">
      <c r="B168" s="3" t="s">
        <v>626</v>
      </c>
      <c r="C168" s="3" t="s">
        <v>627</v>
      </c>
      <c r="D168" s="64">
        <f t="shared" si="5"/>
        <v>1</v>
      </c>
      <c r="G168" s="63">
        <v>41546</v>
      </c>
      <c r="H168" s="3" t="s">
        <v>115</v>
      </c>
      <c r="I168" s="3">
        <v>152</v>
      </c>
    </row>
    <row r="169" spans="2:9" x14ac:dyDescent="0.25">
      <c r="G169" s="63">
        <v>41544</v>
      </c>
      <c r="H169" s="3" t="s">
        <v>110</v>
      </c>
      <c r="I169" s="3">
        <v>30</v>
      </c>
    </row>
    <row r="170" spans="2:9" x14ac:dyDescent="0.25">
      <c r="B170" s="1" t="s">
        <v>614</v>
      </c>
      <c r="G170" s="63">
        <v>41544</v>
      </c>
      <c r="H170" s="3" t="s">
        <v>122</v>
      </c>
      <c r="I170" s="3">
        <v>135</v>
      </c>
    </row>
    <row r="171" spans="2:9" x14ac:dyDescent="0.25">
      <c r="B171" s="3">
        <v>2.1</v>
      </c>
      <c r="G171" s="63">
        <v>41543</v>
      </c>
      <c r="H171" s="3" t="s">
        <v>118</v>
      </c>
      <c r="I171" s="3">
        <v>161</v>
      </c>
    </row>
    <row r="172" spans="2:9" x14ac:dyDescent="0.25">
      <c r="B172" s="3">
        <v>3.5</v>
      </c>
      <c r="G172" s="63">
        <v>41547</v>
      </c>
      <c r="H172" s="3" t="s">
        <v>112</v>
      </c>
      <c r="I172" s="3">
        <v>138</v>
      </c>
    </row>
    <row r="173" spans="2:9" x14ac:dyDescent="0.25">
      <c r="B173" s="3">
        <v>2.8</v>
      </c>
      <c r="G173" s="63">
        <v>41546</v>
      </c>
      <c r="H173" s="3" t="s">
        <v>109</v>
      </c>
      <c r="I173" s="3">
        <v>11</v>
      </c>
    </row>
    <row r="174" spans="2:9" x14ac:dyDescent="0.25">
      <c r="B174" s="3">
        <v>3.3</v>
      </c>
      <c r="G174" s="63">
        <v>41546</v>
      </c>
      <c r="H174" s="3" t="s">
        <v>114</v>
      </c>
      <c r="I174" s="3">
        <v>27</v>
      </c>
    </row>
    <row r="175" spans="2:9" x14ac:dyDescent="0.25">
      <c r="B175" s="3">
        <v>2</v>
      </c>
      <c r="G175" s="63">
        <v>41545</v>
      </c>
      <c r="H175" s="3" t="s">
        <v>120</v>
      </c>
      <c r="I175" s="3">
        <v>32</v>
      </c>
    </row>
    <row r="176" spans="2:9" x14ac:dyDescent="0.25">
      <c r="B176" s="3">
        <v>3.9</v>
      </c>
      <c r="G176" s="63">
        <v>41548</v>
      </c>
      <c r="H176" s="3" t="s">
        <v>110</v>
      </c>
      <c r="I176" s="3">
        <v>93</v>
      </c>
    </row>
    <row r="177" spans="2:9" x14ac:dyDescent="0.25">
      <c r="B177" s="3">
        <v>4</v>
      </c>
      <c r="G177" s="63">
        <v>41546</v>
      </c>
      <c r="H177" s="3" t="s">
        <v>122</v>
      </c>
      <c r="I177" s="3">
        <v>111</v>
      </c>
    </row>
    <row r="178" spans="2:9" x14ac:dyDescent="0.25">
      <c r="B178" s="3">
        <v>3.2</v>
      </c>
      <c r="G178" s="63">
        <v>41543</v>
      </c>
      <c r="H178" s="3" t="s">
        <v>108</v>
      </c>
      <c r="I178" s="3">
        <v>62</v>
      </c>
    </row>
    <row r="179" spans="2:9" x14ac:dyDescent="0.25">
      <c r="B179" s="3">
        <v>2.8</v>
      </c>
      <c r="G179" s="63">
        <v>41545</v>
      </c>
      <c r="H179" s="3" t="s">
        <v>113</v>
      </c>
      <c r="I179" s="3">
        <v>100</v>
      </c>
    </row>
    <row r="180" spans="2:9" x14ac:dyDescent="0.25">
      <c r="B180" s="3">
        <v>2.9</v>
      </c>
      <c r="G180" s="63">
        <v>41548</v>
      </c>
      <c r="H180" s="3" t="s">
        <v>110</v>
      </c>
      <c r="I180" s="3">
        <v>70</v>
      </c>
    </row>
    <row r="181" spans="2:9" x14ac:dyDescent="0.25">
      <c r="B181" s="3">
        <v>2.8</v>
      </c>
      <c r="G181" s="63">
        <v>41545</v>
      </c>
      <c r="H181" s="3" t="s">
        <v>112</v>
      </c>
      <c r="I181" s="3">
        <v>26</v>
      </c>
    </row>
    <row r="182" spans="2:9" x14ac:dyDescent="0.25">
      <c r="G182" s="63">
        <v>41545</v>
      </c>
      <c r="H182" s="3" t="s">
        <v>121</v>
      </c>
      <c r="I182" s="3">
        <v>64</v>
      </c>
    </row>
    <row r="183" spans="2:9" x14ac:dyDescent="0.25">
      <c r="G183" s="63">
        <v>41545</v>
      </c>
      <c r="H183" s="3" t="s">
        <v>117</v>
      </c>
      <c r="I183" s="3">
        <v>46</v>
      </c>
    </row>
    <row r="184" spans="2:9" x14ac:dyDescent="0.25">
      <c r="G184" s="63">
        <v>41548</v>
      </c>
      <c r="H184" s="3" t="s">
        <v>112</v>
      </c>
      <c r="I184" s="3">
        <v>166</v>
      </c>
    </row>
    <row r="185" spans="2:9" x14ac:dyDescent="0.25">
      <c r="G185" s="63">
        <v>41548</v>
      </c>
      <c r="H185" s="3" t="s">
        <v>121</v>
      </c>
      <c r="I185" s="3">
        <v>70</v>
      </c>
    </row>
    <row r="186" spans="2:9" x14ac:dyDescent="0.25">
      <c r="G186" s="63">
        <v>41548</v>
      </c>
      <c r="H186" s="3" t="s">
        <v>121</v>
      </c>
      <c r="I186" s="3">
        <v>111</v>
      </c>
    </row>
    <row r="187" spans="2:9" x14ac:dyDescent="0.25">
      <c r="G187" s="63">
        <v>41548</v>
      </c>
      <c r="H187" s="3" t="s">
        <v>107</v>
      </c>
      <c r="I187" s="3">
        <v>140</v>
      </c>
    </row>
    <row r="188" spans="2:9" x14ac:dyDescent="0.25">
      <c r="G188" s="63">
        <v>41548</v>
      </c>
      <c r="H188" s="3" t="s">
        <v>108</v>
      </c>
      <c r="I188" s="3">
        <v>165</v>
      </c>
    </row>
    <row r="189" spans="2:9" x14ac:dyDescent="0.25">
      <c r="G189" s="63">
        <v>41543</v>
      </c>
      <c r="H189" s="3" t="s">
        <v>109</v>
      </c>
      <c r="I189" s="3">
        <v>70</v>
      </c>
    </row>
    <row r="190" spans="2:9" x14ac:dyDescent="0.25">
      <c r="G190" s="63">
        <v>41543</v>
      </c>
      <c r="H190" s="3" t="s">
        <v>115</v>
      </c>
      <c r="I190" s="3">
        <v>164</v>
      </c>
    </row>
    <row r="191" spans="2:9" x14ac:dyDescent="0.25">
      <c r="G191" s="63">
        <v>41547</v>
      </c>
      <c r="H191" s="3" t="s">
        <v>109</v>
      </c>
      <c r="I191" s="3">
        <v>75</v>
      </c>
    </row>
    <row r="192" spans="2:9" x14ac:dyDescent="0.25">
      <c r="G192" s="63">
        <v>41543</v>
      </c>
      <c r="H192" s="3" t="s">
        <v>114</v>
      </c>
      <c r="I192" s="3">
        <v>91</v>
      </c>
    </row>
    <row r="193" spans="7:9" x14ac:dyDescent="0.25">
      <c r="G193" s="63">
        <v>41546</v>
      </c>
      <c r="H193" s="3" t="s">
        <v>122</v>
      </c>
      <c r="I193" s="3">
        <v>86</v>
      </c>
    </row>
    <row r="194" spans="7:9" x14ac:dyDescent="0.25">
      <c r="G194" s="63">
        <v>41548</v>
      </c>
      <c r="H194" s="3" t="s">
        <v>112</v>
      </c>
      <c r="I194" s="3">
        <v>65</v>
      </c>
    </row>
    <row r="195" spans="7:9" x14ac:dyDescent="0.25">
      <c r="G195" s="63">
        <v>41543</v>
      </c>
      <c r="H195" s="3" t="s">
        <v>113</v>
      </c>
      <c r="I195" s="3">
        <v>82</v>
      </c>
    </row>
    <row r="196" spans="7:9" x14ac:dyDescent="0.25">
      <c r="G196" s="63">
        <v>41544</v>
      </c>
      <c r="H196" s="3" t="s">
        <v>115</v>
      </c>
      <c r="I196" s="3">
        <v>27</v>
      </c>
    </row>
    <row r="197" spans="7:9" x14ac:dyDescent="0.25">
      <c r="G197" s="63">
        <v>41546</v>
      </c>
      <c r="H197" s="3" t="s">
        <v>117</v>
      </c>
      <c r="I197" s="3">
        <v>61</v>
      </c>
    </row>
    <row r="198" spans="7:9" x14ac:dyDescent="0.25">
      <c r="G198" s="63">
        <v>41544</v>
      </c>
      <c r="H198" s="3" t="s">
        <v>120</v>
      </c>
      <c r="I198" s="3">
        <v>75</v>
      </c>
    </row>
    <row r="199" spans="7:9" x14ac:dyDescent="0.25">
      <c r="G199" s="63">
        <v>41547</v>
      </c>
      <c r="H199" s="3" t="s">
        <v>109</v>
      </c>
      <c r="I199" s="3">
        <v>88</v>
      </c>
    </row>
    <row r="200" spans="7:9" x14ac:dyDescent="0.25">
      <c r="G200" s="63">
        <v>41545</v>
      </c>
      <c r="H200" s="3" t="s">
        <v>114</v>
      </c>
      <c r="I200" s="3">
        <v>22</v>
      </c>
    </row>
    <row r="201" spans="7:9" x14ac:dyDescent="0.25">
      <c r="G201" s="63">
        <v>41544</v>
      </c>
      <c r="H201" s="3" t="s">
        <v>115</v>
      </c>
      <c r="I201" s="3">
        <v>84</v>
      </c>
    </row>
    <row r="202" spans="7:9" x14ac:dyDescent="0.25">
      <c r="G202" s="63">
        <v>41547</v>
      </c>
      <c r="H202" s="3" t="s">
        <v>111</v>
      </c>
      <c r="I202" s="3">
        <v>173</v>
      </c>
    </row>
    <row r="203" spans="7:9" x14ac:dyDescent="0.25">
      <c r="G203" s="63">
        <v>41548</v>
      </c>
      <c r="H203" s="3" t="s">
        <v>121</v>
      </c>
      <c r="I203" s="3">
        <v>174</v>
      </c>
    </row>
    <row r="204" spans="7:9" x14ac:dyDescent="0.25">
      <c r="G204" s="63">
        <v>41544</v>
      </c>
      <c r="H204" s="3" t="s">
        <v>117</v>
      </c>
      <c r="I204" s="3">
        <v>172</v>
      </c>
    </row>
    <row r="205" spans="7:9" x14ac:dyDescent="0.25">
      <c r="G205" s="63">
        <v>41546</v>
      </c>
      <c r="H205" s="3" t="s">
        <v>122</v>
      </c>
      <c r="I205" s="3">
        <v>173</v>
      </c>
    </row>
    <row r="206" spans="7:9" x14ac:dyDescent="0.25">
      <c r="G206" s="63">
        <v>41548</v>
      </c>
      <c r="H206" s="3" t="s">
        <v>115</v>
      </c>
      <c r="I206" s="3">
        <v>17</v>
      </c>
    </row>
    <row r="207" spans="7:9" x14ac:dyDescent="0.25">
      <c r="G207" s="63">
        <v>41543</v>
      </c>
      <c r="H207" s="3" t="s">
        <v>119</v>
      </c>
      <c r="I207" s="3">
        <v>154</v>
      </c>
    </row>
    <row r="208" spans="7:9" x14ac:dyDescent="0.25">
      <c r="G208" s="63">
        <v>41546</v>
      </c>
      <c r="H208" s="3" t="s">
        <v>108</v>
      </c>
      <c r="I208" s="3">
        <v>162</v>
      </c>
    </row>
    <row r="209" spans="7:9" x14ac:dyDescent="0.25">
      <c r="G209" s="63">
        <v>41548</v>
      </c>
      <c r="H209" s="3" t="s">
        <v>119</v>
      </c>
      <c r="I209" s="3">
        <v>106</v>
      </c>
    </row>
    <row r="210" spans="7:9" x14ac:dyDescent="0.25">
      <c r="G210" s="63">
        <v>41543</v>
      </c>
      <c r="H210" s="3" t="s">
        <v>120</v>
      </c>
      <c r="I210" s="3">
        <v>29</v>
      </c>
    </row>
    <row r="211" spans="7:9" x14ac:dyDescent="0.25">
      <c r="G211" s="63">
        <v>41546</v>
      </c>
      <c r="H211" s="3" t="s">
        <v>107</v>
      </c>
      <c r="I211" s="3">
        <v>117</v>
      </c>
    </row>
    <row r="212" spans="7:9" x14ac:dyDescent="0.25">
      <c r="G212" s="63">
        <v>41543</v>
      </c>
      <c r="H212" s="3" t="s">
        <v>113</v>
      </c>
      <c r="I212" s="3">
        <v>46</v>
      </c>
    </row>
    <row r="213" spans="7:9" x14ac:dyDescent="0.25">
      <c r="G213" s="63">
        <v>41548</v>
      </c>
      <c r="H213" s="3" t="s">
        <v>120</v>
      </c>
      <c r="I213" s="3">
        <v>122</v>
      </c>
    </row>
    <row r="214" spans="7:9" x14ac:dyDescent="0.25">
      <c r="G214" s="63">
        <v>41545</v>
      </c>
      <c r="H214" s="3" t="s">
        <v>122</v>
      </c>
      <c r="I214" s="3">
        <v>118</v>
      </c>
    </row>
    <row r="215" spans="7:9" x14ac:dyDescent="0.25">
      <c r="G215" s="63">
        <v>41545</v>
      </c>
      <c r="H215" s="3" t="s">
        <v>122</v>
      </c>
      <c r="I215" s="3">
        <v>104</v>
      </c>
    </row>
    <row r="216" spans="7:9" x14ac:dyDescent="0.25">
      <c r="G216" s="63">
        <v>41543</v>
      </c>
      <c r="H216" s="3" t="s">
        <v>107</v>
      </c>
      <c r="I216" s="3">
        <v>149</v>
      </c>
    </row>
    <row r="217" spans="7:9" x14ac:dyDescent="0.25">
      <c r="G217" s="63">
        <v>41546</v>
      </c>
      <c r="H217" s="3" t="s">
        <v>116</v>
      </c>
      <c r="I217" s="3">
        <v>69</v>
      </c>
    </row>
    <row r="218" spans="7:9" x14ac:dyDescent="0.25">
      <c r="G218" s="63">
        <v>41547</v>
      </c>
      <c r="H218" s="3" t="s">
        <v>116</v>
      </c>
      <c r="I218" s="3">
        <v>48</v>
      </c>
    </row>
    <row r="219" spans="7:9" x14ac:dyDescent="0.25">
      <c r="G219" s="63">
        <v>41544</v>
      </c>
      <c r="H219" s="3" t="s">
        <v>109</v>
      </c>
      <c r="I219" s="3">
        <v>91</v>
      </c>
    </row>
    <row r="220" spans="7:9" x14ac:dyDescent="0.25">
      <c r="G220" s="63">
        <v>41545</v>
      </c>
      <c r="H220" s="3" t="s">
        <v>108</v>
      </c>
      <c r="I220" s="3">
        <v>165</v>
      </c>
    </row>
    <row r="221" spans="7:9" x14ac:dyDescent="0.25">
      <c r="G221" s="63">
        <v>41547</v>
      </c>
      <c r="H221" s="3" t="s">
        <v>112</v>
      </c>
      <c r="I221" s="3">
        <v>153</v>
      </c>
    </row>
    <row r="222" spans="7:9" x14ac:dyDescent="0.25">
      <c r="G222" s="63">
        <v>41548</v>
      </c>
      <c r="H222" s="3" t="s">
        <v>108</v>
      </c>
      <c r="I222" s="3">
        <v>126</v>
      </c>
    </row>
    <row r="223" spans="7:9" x14ac:dyDescent="0.25">
      <c r="G223" s="63">
        <v>41548</v>
      </c>
      <c r="H223" s="3" t="s">
        <v>114</v>
      </c>
      <c r="I223" s="3">
        <v>74</v>
      </c>
    </row>
    <row r="224" spans="7:9" x14ac:dyDescent="0.25">
      <c r="G224" s="63">
        <v>41546</v>
      </c>
      <c r="H224" s="3" t="s">
        <v>109</v>
      </c>
      <c r="I224" s="3">
        <v>141</v>
      </c>
    </row>
    <row r="225" spans="7:9" x14ac:dyDescent="0.25">
      <c r="G225" s="63">
        <v>41545</v>
      </c>
      <c r="H225" s="3" t="s">
        <v>112</v>
      </c>
      <c r="I225" s="3">
        <v>146</v>
      </c>
    </row>
    <row r="226" spans="7:9" x14ac:dyDescent="0.25">
      <c r="G226" s="63">
        <v>41543</v>
      </c>
      <c r="H226" s="3" t="s">
        <v>111</v>
      </c>
      <c r="I226" s="3">
        <v>95</v>
      </c>
    </row>
    <row r="227" spans="7:9" x14ac:dyDescent="0.25">
      <c r="G227" s="63">
        <v>41547</v>
      </c>
      <c r="H227" s="3" t="s">
        <v>112</v>
      </c>
      <c r="I227" s="3">
        <v>152</v>
      </c>
    </row>
    <row r="228" spans="7:9" x14ac:dyDescent="0.25">
      <c r="G228" s="63">
        <v>41544</v>
      </c>
      <c r="H228" s="3" t="s">
        <v>112</v>
      </c>
      <c r="I228" s="3">
        <v>27</v>
      </c>
    </row>
    <row r="229" spans="7:9" x14ac:dyDescent="0.25">
      <c r="G229" s="63">
        <v>41546</v>
      </c>
      <c r="H229" s="3" t="s">
        <v>107</v>
      </c>
      <c r="I229" s="3">
        <v>36</v>
      </c>
    </row>
    <row r="230" spans="7:9" x14ac:dyDescent="0.25">
      <c r="G230" s="63">
        <v>41544</v>
      </c>
      <c r="H230" s="3" t="s">
        <v>115</v>
      </c>
      <c r="I230" s="3">
        <v>123</v>
      </c>
    </row>
    <row r="231" spans="7:9" x14ac:dyDescent="0.25">
      <c r="G231" s="63">
        <v>41547</v>
      </c>
      <c r="H231" s="3" t="s">
        <v>109</v>
      </c>
      <c r="I231" s="3">
        <v>90</v>
      </c>
    </row>
    <row r="232" spans="7:9" x14ac:dyDescent="0.25">
      <c r="G232" s="63">
        <v>41548</v>
      </c>
      <c r="H232" s="3" t="s">
        <v>114</v>
      </c>
      <c r="I232" s="3">
        <v>157</v>
      </c>
    </row>
    <row r="233" spans="7:9" x14ac:dyDescent="0.25">
      <c r="G233" s="63">
        <v>41547</v>
      </c>
      <c r="H233" s="3" t="s">
        <v>107</v>
      </c>
      <c r="I233" s="3">
        <v>30</v>
      </c>
    </row>
    <row r="234" spans="7:9" x14ac:dyDescent="0.25">
      <c r="G234" s="63">
        <v>41546</v>
      </c>
      <c r="H234" s="3" t="s">
        <v>120</v>
      </c>
      <c r="I234" s="3">
        <v>133</v>
      </c>
    </row>
    <row r="235" spans="7:9" x14ac:dyDescent="0.25">
      <c r="G235" s="63">
        <v>41545</v>
      </c>
      <c r="H235" s="3" t="s">
        <v>110</v>
      </c>
      <c r="I235" s="3">
        <v>57</v>
      </c>
    </row>
    <row r="236" spans="7:9" x14ac:dyDescent="0.25">
      <c r="G236" s="63">
        <v>41546</v>
      </c>
      <c r="H236" s="3" t="s">
        <v>112</v>
      </c>
      <c r="I236" s="3">
        <v>171</v>
      </c>
    </row>
    <row r="237" spans="7:9" x14ac:dyDescent="0.25">
      <c r="G237" s="63">
        <v>41546</v>
      </c>
      <c r="H237" s="3" t="s">
        <v>121</v>
      </c>
      <c r="I237" s="3">
        <v>58</v>
      </c>
    </row>
    <row r="238" spans="7:9" x14ac:dyDescent="0.25">
      <c r="G238" s="63">
        <v>41546</v>
      </c>
      <c r="H238" s="3" t="s">
        <v>107</v>
      </c>
      <c r="I238" s="3">
        <v>86</v>
      </c>
    </row>
    <row r="239" spans="7:9" x14ac:dyDescent="0.25">
      <c r="G239" s="63">
        <v>41543</v>
      </c>
      <c r="H239" s="3" t="s">
        <v>112</v>
      </c>
      <c r="I239" s="3">
        <v>85</v>
      </c>
    </row>
    <row r="240" spans="7:9" x14ac:dyDescent="0.25">
      <c r="G240" s="63">
        <v>41545</v>
      </c>
      <c r="H240" s="3" t="s">
        <v>108</v>
      </c>
      <c r="I240" s="3">
        <v>56</v>
      </c>
    </row>
    <row r="241" spans="7:9" x14ac:dyDescent="0.25">
      <c r="G241" s="63">
        <v>41546</v>
      </c>
      <c r="H241" s="3" t="s">
        <v>114</v>
      </c>
      <c r="I241" s="3">
        <v>104</v>
      </c>
    </row>
    <row r="242" spans="7:9" x14ac:dyDescent="0.25">
      <c r="G242" s="63">
        <v>41547</v>
      </c>
      <c r="H242" s="3" t="s">
        <v>109</v>
      </c>
      <c r="I242" s="3">
        <v>141</v>
      </c>
    </row>
    <row r="243" spans="7:9" x14ac:dyDescent="0.25">
      <c r="G243" s="63">
        <v>41546</v>
      </c>
      <c r="H243" s="3" t="s">
        <v>113</v>
      </c>
      <c r="I243" s="3">
        <v>83</v>
      </c>
    </row>
    <row r="244" spans="7:9" x14ac:dyDescent="0.25">
      <c r="G244" s="63">
        <v>41544</v>
      </c>
      <c r="H244" s="3" t="s">
        <v>113</v>
      </c>
      <c r="I244" s="3">
        <v>142</v>
      </c>
    </row>
    <row r="245" spans="7:9" x14ac:dyDescent="0.25">
      <c r="G245" s="63">
        <v>41546</v>
      </c>
      <c r="H245" s="3" t="s">
        <v>114</v>
      </c>
      <c r="I245" s="3">
        <v>141</v>
      </c>
    </row>
    <row r="246" spans="7:9" x14ac:dyDescent="0.25">
      <c r="G246" s="63">
        <v>41548</v>
      </c>
      <c r="H246" s="3" t="s">
        <v>117</v>
      </c>
      <c r="I246" s="3">
        <v>161</v>
      </c>
    </row>
    <row r="247" spans="7:9" x14ac:dyDescent="0.25">
      <c r="G247" s="63">
        <v>41547</v>
      </c>
      <c r="H247" s="3" t="s">
        <v>112</v>
      </c>
      <c r="I247" s="3">
        <v>14</v>
      </c>
    </row>
    <row r="248" spans="7:9" x14ac:dyDescent="0.25">
      <c r="G248" s="63">
        <v>41543</v>
      </c>
      <c r="H248" s="3" t="s">
        <v>116</v>
      </c>
      <c r="I248" s="3">
        <v>115</v>
      </c>
    </row>
    <row r="249" spans="7:9" x14ac:dyDescent="0.25">
      <c r="G249" s="63">
        <v>41546</v>
      </c>
      <c r="H249" s="3" t="s">
        <v>114</v>
      </c>
      <c r="I249" s="3">
        <v>102</v>
      </c>
    </row>
    <row r="250" spans="7:9" x14ac:dyDescent="0.25">
      <c r="G250" s="63">
        <v>41545</v>
      </c>
      <c r="H250" s="3" t="s">
        <v>108</v>
      </c>
      <c r="I250" s="3">
        <v>80</v>
      </c>
    </row>
    <row r="251" spans="7:9" x14ac:dyDescent="0.25">
      <c r="G251" s="63">
        <v>41548</v>
      </c>
      <c r="H251" s="3" t="s">
        <v>118</v>
      </c>
      <c r="I251" s="3">
        <v>113</v>
      </c>
    </row>
    <row r="252" spans="7:9" x14ac:dyDescent="0.25">
      <c r="G252" s="63">
        <v>41544</v>
      </c>
      <c r="H252" s="3" t="s">
        <v>107</v>
      </c>
      <c r="I252" s="3">
        <v>116</v>
      </c>
    </row>
    <row r="257" spans="2:4" x14ac:dyDescent="0.25">
      <c r="B257" s="1" t="s">
        <v>103</v>
      </c>
      <c r="C257" s="1" t="s">
        <v>104</v>
      </c>
      <c r="D257" s="1" t="s">
        <v>105</v>
      </c>
    </row>
    <row r="258" spans="2:4" x14ac:dyDescent="0.25">
      <c r="B258" s="63">
        <v>41544</v>
      </c>
      <c r="C258" s="3" t="s">
        <v>117</v>
      </c>
      <c r="D258" s="3">
        <v>39</v>
      </c>
    </row>
    <row r="259" spans="2:4" x14ac:dyDescent="0.25">
      <c r="B259" s="63">
        <v>41543</v>
      </c>
      <c r="C259" s="3" t="s">
        <v>117</v>
      </c>
      <c r="D259" s="3">
        <v>164</v>
      </c>
    </row>
    <row r="260" spans="2:4" x14ac:dyDescent="0.25">
      <c r="B260" s="63">
        <v>41546</v>
      </c>
      <c r="C260" s="3" t="s">
        <v>117</v>
      </c>
      <c r="D260" s="3">
        <v>55</v>
      </c>
    </row>
    <row r="261" spans="2:4" x14ac:dyDescent="0.25">
      <c r="B261" s="63">
        <v>41546</v>
      </c>
      <c r="C261" s="3" t="s">
        <v>117</v>
      </c>
      <c r="D261" s="3">
        <v>88</v>
      </c>
    </row>
    <row r="262" spans="2:4" x14ac:dyDescent="0.25">
      <c r="B262" s="63">
        <v>41543</v>
      </c>
      <c r="C262" s="3" t="s">
        <v>117</v>
      </c>
      <c r="D262" s="3">
        <v>156</v>
      </c>
    </row>
    <row r="263" spans="2:4" x14ac:dyDescent="0.25">
      <c r="B263" s="63">
        <v>41544</v>
      </c>
      <c r="C263" s="3" t="s">
        <v>117</v>
      </c>
      <c r="D263" s="3">
        <v>126</v>
      </c>
    </row>
    <row r="264" spans="2:4" x14ac:dyDescent="0.25">
      <c r="B264" s="63">
        <v>41548</v>
      </c>
      <c r="C264" s="3" t="s">
        <v>117</v>
      </c>
      <c r="D264" s="3">
        <v>139</v>
      </c>
    </row>
    <row r="265" spans="2:4" x14ac:dyDescent="0.25">
      <c r="B265" s="63">
        <v>41548</v>
      </c>
      <c r="C265" s="3" t="s">
        <v>117</v>
      </c>
      <c r="D265" s="3">
        <v>107</v>
      </c>
    </row>
    <row r="266" spans="2:4" x14ac:dyDescent="0.25">
      <c r="B266" s="63">
        <v>41546</v>
      </c>
      <c r="C266" s="3" t="s">
        <v>117</v>
      </c>
      <c r="D266" s="3">
        <v>170</v>
      </c>
    </row>
    <row r="267" spans="2:4" x14ac:dyDescent="0.25">
      <c r="B267" s="63">
        <v>41543</v>
      </c>
      <c r="C267" s="3" t="s">
        <v>117</v>
      </c>
      <c r="D267" s="3">
        <v>129</v>
      </c>
    </row>
    <row r="268" spans="2:4" x14ac:dyDescent="0.25">
      <c r="B268" s="63">
        <v>41545</v>
      </c>
      <c r="C268" s="3" t="s">
        <v>117</v>
      </c>
      <c r="D268" s="3">
        <v>46</v>
      </c>
    </row>
    <row r="269" spans="2:4" x14ac:dyDescent="0.25">
      <c r="B269" s="63">
        <v>41546</v>
      </c>
      <c r="C269" s="3" t="s">
        <v>117</v>
      </c>
      <c r="D269" s="3">
        <v>61</v>
      </c>
    </row>
    <row r="270" spans="2:4" x14ac:dyDescent="0.25">
      <c r="B270" s="63">
        <v>41544</v>
      </c>
      <c r="C270" s="3" t="s">
        <v>117</v>
      </c>
      <c r="D270" s="3">
        <v>172</v>
      </c>
    </row>
    <row r="271" spans="2:4" x14ac:dyDescent="0.25">
      <c r="B271" s="63">
        <v>41548</v>
      </c>
      <c r="C271" s="3" t="s">
        <v>117</v>
      </c>
      <c r="D271" s="3">
        <v>161</v>
      </c>
    </row>
  </sheetData>
  <conditionalFormatting sqref="B147:D155">
    <cfRule type="expression" dxfId="2" priority="1">
      <formula>AND($B147=$B$144,$C147=$C$144)</formula>
    </cfRule>
  </conditionalFormatting>
  <dataValidations count="1">
    <dataValidation type="list" allowBlank="1" showInputMessage="1" showErrorMessage="1" sqref="B92">
      <formula1>$B$97:$B$100</formula1>
    </dataValidation>
  </dataValidation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workbookViewId="0">
      <selection activeCell="C21" sqref="C21"/>
    </sheetView>
  </sheetViews>
  <sheetFormatPr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FF"/>
  </sheetPr>
  <dimension ref="A1:D13"/>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8.140625" customWidth="1"/>
  </cols>
  <sheetData>
    <row r="1" spans="1:4" ht="30" x14ac:dyDescent="0.25">
      <c r="A1" s="155" t="s">
        <v>463</v>
      </c>
      <c r="B1" s="155"/>
      <c r="C1" s="155"/>
      <c r="D1" s="155"/>
    </row>
    <row r="3" spans="1:4" x14ac:dyDescent="0.25">
      <c r="A3" s="3" t="s">
        <v>105</v>
      </c>
      <c r="B3" s="91">
        <v>5000</v>
      </c>
    </row>
    <row r="4" spans="1:4" x14ac:dyDescent="0.25">
      <c r="A4" s="3" t="s">
        <v>464</v>
      </c>
      <c r="B4" s="91">
        <v>4250</v>
      </c>
    </row>
    <row r="5" spans="1:4" x14ac:dyDescent="0.25">
      <c r="A5" s="3" t="s">
        <v>197</v>
      </c>
      <c r="B5" s="53" t="s">
        <v>465</v>
      </c>
    </row>
    <row r="7" spans="1:4" x14ac:dyDescent="0.25">
      <c r="A7" s="3" t="s">
        <v>105</v>
      </c>
      <c r="B7" s="91">
        <v>5000</v>
      </c>
    </row>
    <row r="8" spans="1:4" x14ac:dyDescent="0.25">
      <c r="A8" s="3" t="s">
        <v>464</v>
      </c>
      <c r="B8" s="91">
        <v>4250</v>
      </c>
    </row>
    <row r="9" spans="1:4" x14ac:dyDescent="0.25">
      <c r="A9" s="3" t="s">
        <v>197</v>
      </c>
      <c r="B9" s="156" t="s">
        <v>466</v>
      </c>
    </row>
    <row r="11" spans="1:4" x14ac:dyDescent="0.25">
      <c r="A11" s="3" t="s">
        <v>105</v>
      </c>
      <c r="B11" s="91">
        <v>5000</v>
      </c>
    </row>
    <row r="12" spans="1:4" x14ac:dyDescent="0.25">
      <c r="A12" s="3" t="s">
        <v>464</v>
      </c>
      <c r="B12" s="91">
        <v>4250</v>
      </c>
    </row>
    <row r="13" spans="1:4" x14ac:dyDescent="0.25">
      <c r="A13" s="3" t="s">
        <v>197</v>
      </c>
      <c r="B13" s="157" t="s">
        <v>467</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D13"/>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5.7109375" customWidth="1"/>
    <col min="4" max="4" width="26.7109375" customWidth="1"/>
  </cols>
  <sheetData>
    <row r="1" spans="1:4" ht="30" x14ac:dyDescent="0.25">
      <c r="A1" s="155" t="s">
        <v>463</v>
      </c>
      <c r="B1" s="155"/>
      <c r="C1" s="155"/>
      <c r="D1" s="155"/>
    </row>
    <row r="3" spans="1:4" x14ac:dyDescent="0.25">
      <c r="A3" s="3" t="s">
        <v>105</v>
      </c>
      <c r="B3" s="91">
        <v>5000</v>
      </c>
    </row>
    <row r="4" spans="1:4" x14ac:dyDescent="0.25">
      <c r="A4" s="3" t="s">
        <v>464</v>
      </c>
      <c r="B4" s="91">
        <v>4250</v>
      </c>
    </row>
    <row r="5" spans="1:4" x14ac:dyDescent="0.25">
      <c r="A5" s="3" t="s">
        <v>197</v>
      </c>
      <c r="B5" s="53">
        <f>B3-B4</f>
        <v>750</v>
      </c>
      <c r="D5" t="s">
        <v>468</v>
      </c>
    </row>
    <row r="7" spans="1:4" x14ac:dyDescent="0.25">
      <c r="A7" s="3" t="s">
        <v>105</v>
      </c>
      <c r="B7" s="91">
        <v>5000</v>
      </c>
    </row>
    <row r="8" spans="1:4" x14ac:dyDescent="0.25">
      <c r="A8" s="3" t="s">
        <v>464</v>
      </c>
      <c r="B8" s="91">
        <v>4250</v>
      </c>
    </row>
    <row r="9" spans="1:4" x14ac:dyDescent="0.25">
      <c r="A9" s="3" t="s">
        <v>197</v>
      </c>
      <c r="B9" s="156">
        <f>B7-B8</f>
        <v>750</v>
      </c>
      <c r="D9" t="s">
        <v>469</v>
      </c>
    </row>
    <row r="11" spans="1:4" x14ac:dyDescent="0.25">
      <c r="A11" s="3" t="s">
        <v>105</v>
      </c>
      <c r="B11" s="91">
        <v>5000</v>
      </c>
    </row>
    <row r="12" spans="1:4" x14ac:dyDescent="0.25">
      <c r="A12" s="3" t="s">
        <v>464</v>
      </c>
      <c r="B12" s="91">
        <v>4250</v>
      </c>
    </row>
    <row r="13" spans="1:4" x14ac:dyDescent="0.25">
      <c r="A13" s="3" t="s">
        <v>197</v>
      </c>
      <c r="B13" s="53">
        <f>B11-B12</f>
        <v>750</v>
      </c>
      <c r="D13" t="s">
        <v>470</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00FF"/>
  </sheetPr>
  <dimension ref="A1:D15"/>
  <sheetViews>
    <sheetView workbookViewId="0">
      <selection activeCell="C21" sqref="C21"/>
    </sheetView>
  </sheetViews>
  <sheetFormatPr defaultColWidth="10.28515625" defaultRowHeight="15" x14ac:dyDescent="0.25"/>
  <cols>
    <col min="1" max="1" width="20.42578125" bestFit="1" customWidth="1"/>
    <col min="2" max="2" width="24.5703125" bestFit="1" customWidth="1"/>
    <col min="3" max="3" width="12.28515625" bestFit="1" customWidth="1"/>
    <col min="4" max="4" width="13.85546875" bestFit="1" customWidth="1"/>
  </cols>
  <sheetData>
    <row r="1" spans="1:4" x14ac:dyDescent="0.25">
      <c r="A1" s="155" t="s">
        <v>471</v>
      </c>
      <c r="B1" s="155"/>
      <c r="C1" s="155"/>
      <c r="D1" s="155"/>
    </row>
    <row r="3" spans="1:4" x14ac:dyDescent="0.25">
      <c r="A3" s="158" t="s">
        <v>472</v>
      </c>
      <c r="B3" s="3" t="s">
        <v>473</v>
      </c>
    </row>
    <row r="4" spans="1:4" ht="45" x14ac:dyDescent="0.25">
      <c r="A4" s="158" t="str">
        <f>"Number of "&amp;B3</f>
        <v>Number of Birch Aircraft Plywood Sheet</v>
      </c>
      <c r="B4" s="159">
        <v>15</v>
      </c>
    </row>
    <row r="5" spans="1:4" ht="45" x14ac:dyDescent="0.25">
      <c r="A5" s="158" t="str">
        <f>"Price per "&amp;B3</f>
        <v>Price per Birch Aircraft Plywood Sheet</v>
      </c>
      <c r="B5" s="160">
        <v>125</v>
      </c>
    </row>
    <row r="6" spans="1:4" x14ac:dyDescent="0.25">
      <c r="A6" s="158" t="s">
        <v>474</v>
      </c>
      <c r="B6" s="161"/>
    </row>
    <row r="8" spans="1:4" x14ac:dyDescent="0.25">
      <c r="A8" s="158" t="s">
        <v>475</v>
      </c>
      <c r="B8" s="91">
        <v>598258</v>
      </c>
    </row>
    <row r="9" spans="1:4" x14ac:dyDescent="0.25">
      <c r="A9" s="158" t="s">
        <v>476</v>
      </c>
      <c r="B9" s="53"/>
    </row>
    <row r="11" spans="1:4" x14ac:dyDescent="0.25">
      <c r="A11" s="78" t="s">
        <v>477</v>
      </c>
      <c r="B11" s="91">
        <v>12913</v>
      </c>
    </row>
    <row r="12" spans="1:4" x14ac:dyDescent="0.25">
      <c r="A12" s="78" t="s">
        <v>478</v>
      </c>
      <c r="B12" s="91">
        <v>6280</v>
      </c>
    </row>
    <row r="13" spans="1:4" x14ac:dyDescent="0.25">
      <c r="A13" s="78" t="s">
        <v>479</v>
      </c>
      <c r="B13" s="91">
        <v>12830</v>
      </c>
    </row>
    <row r="14" spans="1:4" x14ac:dyDescent="0.25">
      <c r="A14" s="78" t="s">
        <v>480</v>
      </c>
      <c r="B14" s="162">
        <v>12974</v>
      </c>
    </row>
    <row r="15" spans="1:4" x14ac:dyDescent="0.25">
      <c r="A15" s="163" t="s">
        <v>481</v>
      </c>
      <c r="B15" s="53"/>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0000"/>
  </sheetPr>
  <dimension ref="A1:D15"/>
  <sheetViews>
    <sheetView workbookViewId="0">
      <selection activeCell="C21" sqref="C21"/>
    </sheetView>
  </sheetViews>
  <sheetFormatPr defaultColWidth="10.28515625" defaultRowHeight="15" x14ac:dyDescent="0.25"/>
  <cols>
    <col min="1" max="1" width="20.42578125" bestFit="1" customWidth="1"/>
    <col min="2" max="2" width="24.5703125" bestFit="1" customWidth="1"/>
    <col min="3" max="3" width="12.28515625" bestFit="1" customWidth="1"/>
    <col min="4" max="4" width="13.85546875" bestFit="1" customWidth="1"/>
  </cols>
  <sheetData>
    <row r="1" spans="1:4" x14ac:dyDescent="0.25">
      <c r="A1" s="155" t="s">
        <v>471</v>
      </c>
      <c r="B1" s="155"/>
      <c r="C1" s="155"/>
      <c r="D1" s="155"/>
    </row>
    <row r="3" spans="1:4" x14ac:dyDescent="0.25">
      <c r="A3" s="158" t="s">
        <v>472</v>
      </c>
      <c r="B3" s="3" t="s">
        <v>473</v>
      </c>
    </row>
    <row r="4" spans="1:4" ht="45" x14ac:dyDescent="0.25">
      <c r="A4" s="158" t="str">
        <f>"Number of "&amp;B3</f>
        <v>Number of Birch Aircraft Plywood Sheet</v>
      </c>
      <c r="B4" s="159">
        <v>15</v>
      </c>
    </row>
    <row r="5" spans="1:4" ht="45" x14ac:dyDescent="0.25">
      <c r="A5" s="158" t="str">
        <f>"Price per "&amp;B3</f>
        <v>Price per Birch Aircraft Plywood Sheet</v>
      </c>
      <c r="B5" s="160">
        <v>125</v>
      </c>
    </row>
    <row r="6" spans="1:4" x14ac:dyDescent="0.25">
      <c r="A6" s="158" t="s">
        <v>474</v>
      </c>
      <c r="B6" s="161">
        <f>B5*B4</f>
        <v>1875</v>
      </c>
    </row>
    <row r="8" spans="1:4" x14ac:dyDescent="0.25">
      <c r="A8" s="158" t="s">
        <v>475</v>
      </c>
      <c r="B8" s="91">
        <v>598258</v>
      </c>
    </row>
    <row r="9" spans="1:4" x14ac:dyDescent="0.25">
      <c r="A9" s="158" t="s">
        <v>476</v>
      </c>
      <c r="B9" s="53">
        <f>B8/12</f>
        <v>49854.833333333336</v>
      </c>
    </row>
    <row r="11" spans="1:4" x14ac:dyDescent="0.25">
      <c r="A11" s="78" t="s">
        <v>477</v>
      </c>
      <c r="B11" s="91">
        <v>12913</v>
      </c>
    </row>
    <row r="12" spans="1:4" x14ac:dyDescent="0.25">
      <c r="A12" s="78" t="s">
        <v>478</v>
      </c>
      <c r="B12" s="91">
        <v>6280</v>
      </c>
    </row>
    <row r="13" spans="1:4" x14ac:dyDescent="0.25">
      <c r="A13" s="78" t="s">
        <v>479</v>
      </c>
      <c r="B13" s="91">
        <v>12830</v>
      </c>
    </row>
    <row r="14" spans="1:4" x14ac:dyDescent="0.25">
      <c r="A14" s="78" t="s">
        <v>480</v>
      </c>
      <c r="B14" s="162">
        <v>12974</v>
      </c>
    </row>
    <row r="15" spans="1:4" x14ac:dyDescent="0.25">
      <c r="A15" s="163" t="s">
        <v>481</v>
      </c>
      <c r="B15" s="53">
        <f>AVERAGE(B11:B14)</f>
        <v>11249.25</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00FF"/>
  </sheetPr>
  <dimension ref="A1:D1"/>
  <sheetViews>
    <sheetView workbookViewId="0">
      <selection activeCell="C21" sqref="C21"/>
    </sheetView>
  </sheetViews>
  <sheetFormatPr defaultColWidth="10.28515625" defaultRowHeight="15" x14ac:dyDescent="0.25"/>
  <cols>
    <col min="1" max="1" width="20.42578125" bestFit="1" customWidth="1"/>
    <col min="2" max="2" width="24.5703125" bestFit="1" customWidth="1"/>
    <col min="3" max="3" width="15.28515625" customWidth="1"/>
    <col min="4" max="4" width="13.85546875" bestFit="1" customWidth="1"/>
  </cols>
  <sheetData>
    <row r="1" spans="1:4" ht="60" x14ac:dyDescent="0.25">
      <c r="A1" s="155" t="str">
        <f>'HW(3an)'!A1</f>
        <v>1) If Revenue was $528,050.00, Administrative Expense was $65,874.00, Operational Expense was $350,200.00, and Other Expense was $58,500.00, list the revenue and expenses and calculate Net Income without calculating total expenses in a separate cell. Then format the report nicely.</v>
      </c>
      <c r="B1" s="155"/>
      <c r="C1" s="155"/>
      <c r="D1" s="155"/>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D9"/>
  <sheetViews>
    <sheetView workbookViewId="0">
      <selection activeCell="C21" sqref="C21"/>
    </sheetView>
  </sheetViews>
  <sheetFormatPr defaultColWidth="10.28515625" defaultRowHeight="15" x14ac:dyDescent="0.25"/>
  <cols>
    <col min="1" max="1" width="20.42578125" bestFit="1" customWidth="1"/>
    <col min="2" max="2" width="14.28515625" customWidth="1"/>
    <col min="3" max="3" width="15.28515625" customWidth="1"/>
    <col min="4" max="4" width="13.85546875" bestFit="1" customWidth="1"/>
  </cols>
  <sheetData>
    <row r="1" spans="1:4" ht="75" x14ac:dyDescent="0.25">
      <c r="A1" s="155" t="str">
        <f>"1) If "&amp;A4&amp;" was "&amp;DOLLAR(B4)&amp;", "&amp;A5&amp;" was "&amp;DOLLAR(B5)&amp;", "&amp;A6&amp;" was "&amp;DOLLAR(B6)&amp;", and "&amp;A7&amp;" was "&amp;DOLLAR(B7)&amp;", list the revenue and expenses and calculate Net Income without calculating total expenses in a separate cell. Then format the report nicely."</f>
        <v>1) If Revenue was $528,050.00, Administrative Expense was $65,874.00, Operational Expense was $350,200.00, and Other Expense was $58,500.00, list the revenue and expenses and calculate Net Income without calculating total expenses in a separate cell. Then format the report nicely.</v>
      </c>
      <c r="B1" s="155"/>
      <c r="C1" s="155"/>
      <c r="D1" s="155"/>
    </row>
    <row r="4" spans="1:4" x14ac:dyDescent="0.25">
      <c r="A4" s="158" t="s">
        <v>193</v>
      </c>
      <c r="B4" s="164">
        <v>528050</v>
      </c>
    </row>
    <row r="5" spans="1:4" ht="30" x14ac:dyDescent="0.25">
      <c r="A5" s="158" t="s">
        <v>194</v>
      </c>
      <c r="B5" s="164">
        <v>65874</v>
      </c>
    </row>
    <row r="6" spans="1:4" x14ac:dyDescent="0.25">
      <c r="A6" s="158" t="s">
        <v>482</v>
      </c>
      <c r="B6" s="164">
        <v>350200</v>
      </c>
    </row>
    <row r="7" spans="1:4" ht="15.75" thickBot="1" x14ac:dyDescent="0.3">
      <c r="A7" s="165" t="s">
        <v>483</v>
      </c>
      <c r="B7" s="166">
        <v>58500</v>
      </c>
    </row>
    <row r="8" spans="1:4" ht="15.75" thickBot="1" x14ac:dyDescent="0.3">
      <c r="A8" s="167" t="s">
        <v>197</v>
      </c>
      <c r="B8" s="168">
        <f>B4-SUM(B5:B7)</f>
        <v>53476</v>
      </c>
    </row>
    <row r="9" spans="1:4" ht="15.75" thickTop="1" x14ac:dyDescent="0.25"/>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00FF"/>
  </sheetPr>
  <dimension ref="A1:D12"/>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s>
  <sheetData>
    <row r="1" spans="1:4" ht="60" x14ac:dyDescent="0.25">
      <c r="A1" s="155" t="s">
        <v>484</v>
      </c>
      <c r="B1" s="155"/>
      <c r="C1" s="155"/>
      <c r="D1" s="155"/>
    </row>
    <row r="3" spans="1:4" x14ac:dyDescent="0.25">
      <c r="A3" s="158" t="s">
        <v>418</v>
      </c>
      <c r="B3" s="78" t="s">
        <v>419</v>
      </c>
    </row>
    <row r="4" spans="1:4" x14ac:dyDescent="0.25">
      <c r="A4" s="169"/>
      <c r="B4" s="170">
        <v>22.1005</v>
      </c>
    </row>
    <row r="5" spans="1:4" x14ac:dyDescent="0.25">
      <c r="A5" s="171">
        <v>5528.9800000089999</v>
      </c>
      <c r="B5" s="169"/>
    </row>
    <row r="6" spans="1:4" x14ac:dyDescent="0.25">
      <c r="A6" s="171">
        <v>50.01</v>
      </c>
      <c r="B6" s="169"/>
    </row>
    <row r="7" spans="1:4" x14ac:dyDescent="0.25">
      <c r="A7" s="171"/>
      <c r="B7" s="172">
        <v>5528.98</v>
      </c>
    </row>
    <row r="8" spans="1:4" x14ac:dyDescent="0.25">
      <c r="A8" s="171"/>
      <c r="B8" s="172">
        <v>50.011000000000003</v>
      </c>
    </row>
    <row r="9" spans="1:4" x14ac:dyDescent="0.25">
      <c r="A9" s="171">
        <v>22.1</v>
      </c>
      <c r="B9" s="169"/>
    </row>
    <row r="10" spans="1:4" x14ac:dyDescent="0.25">
      <c r="A10" s="173">
        <f t="shared" ref="A10:B10" si="0">SUM(A4:A9)</f>
        <v>5601.0900000090005</v>
      </c>
      <c r="B10" s="173">
        <f t="shared" si="0"/>
        <v>5601.0914999999995</v>
      </c>
    </row>
    <row r="12" spans="1:4" x14ac:dyDescent="0.25">
      <c r="A12" s="3" t="s">
        <v>485</v>
      </c>
      <c r="B12" s="174" t="b">
        <f>A10=B10</f>
        <v>0</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0000"/>
  </sheetPr>
  <dimension ref="A1:D25"/>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4.85546875" customWidth="1"/>
    <col min="4" max="4" width="13.85546875" bestFit="1" customWidth="1"/>
  </cols>
  <sheetData>
    <row r="1" spans="1:4" ht="60" x14ac:dyDescent="0.25">
      <c r="A1" s="155" t="s">
        <v>484</v>
      </c>
      <c r="B1" s="155"/>
      <c r="C1" s="155"/>
      <c r="D1" s="155"/>
    </row>
    <row r="2" spans="1:4" ht="4.9000000000000004" customHeight="1" x14ac:dyDescent="0.25"/>
    <row r="3" spans="1:4" x14ac:dyDescent="0.25">
      <c r="A3" s="111" t="s">
        <v>418</v>
      </c>
      <c r="B3" s="110" t="s">
        <v>419</v>
      </c>
    </row>
    <row r="4" spans="1:4" x14ac:dyDescent="0.25">
      <c r="A4" s="169"/>
      <c r="B4" s="170">
        <v>22.1005</v>
      </c>
      <c r="D4" t="str">
        <f>"&lt;&lt;== actual number in cell = "&amp;IF(A4="",B4,A4)</f>
        <v>&lt;&lt;== actual number in cell = 22.1005</v>
      </c>
    </row>
    <row r="5" spans="1:4" x14ac:dyDescent="0.25">
      <c r="A5" s="171">
        <v>5528.9800000089999</v>
      </c>
      <c r="B5" s="169"/>
      <c r="D5" t="str">
        <f t="shared" ref="D5:D9" si="0">"&lt;&lt;== actual number in cell = "&amp;IF(A5="",B5,A5)</f>
        <v>&lt;&lt;== actual number in cell = 5528.980000009</v>
      </c>
    </row>
    <row r="6" spans="1:4" x14ac:dyDescent="0.25">
      <c r="A6" s="171">
        <v>50.01</v>
      </c>
      <c r="B6" s="169"/>
      <c r="D6" t="str">
        <f t="shared" si="0"/>
        <v>&lt;&lt;== actual number in cell = 50.01</v>
      </c>
    </row>
    <row r="7" spans="1:4" x14ac:dyDescent="0.25">
      <c r="A7" s="171"/>
      <c r="B7" s="172">
        <v>5528.98</v>
      </c>
      <c r="D7" t="str">
        <f t="shared" si="0"/>
        <v>&lt;&lt;== actual number in cell = 5528.98</v>
      </c>
    </row>
    <row r="8" spans="1:4" x14ac:dyDescent="0.25">
      <c r="A8" s="171"/>
      <c r="B8" s="172">
        <v>50.011000000000003</v>
      </c>
      <c r="D8" t="str">
        <f t="shared" si="0"/>
        <v>&lt;&lt;== actual number in cell = 50.011</v>
      </c>
    </row>
    <row r="9" spans="1:4" x14ac:dyDescent="0.25">
      <c r="A9" s="171">
        <v>22.1</v>
      </c>
      <c r="B9" s="169"/>
      <c r="D9" t="str">
        <f t="shared" si="0"/>
        <v>&lt;&lt;== actual number in cell = 22.1</v>
      </c>
    </row>
    <row r="10" spans="1:4" x14ac:dyDescent="0.25">
      <c r="A10" s="173">
        <f t="shared" ref="A10:B10" si="1">SUM(A4:A9)</f>
        <v>5601.0900000090005</v>
      </c>
      <c r="B10" s="173">
        <f t="shared" si="1"/>
        <v>5601.0914999999995</v>
      </c>
    </row>
    <row r="12" spans="1:4" x14ac:dyDescent="0.25">
      <c r="A12" s="3" t="s">
        <v>485</v>
      </c>
      <c r="B12" s="174" t="b">
        <f>A10=B10</f>
        <v>0</v>
      </c>
    </row>
    <row r="13" spans="1:4" ht="4.9000000000000004" customHeight="1" x14ac:dyDescent="0.25"/>
    <row r="14" spans="1:4" x14ac:dyDescent="0.25">
      <c r="A14" s="66" t="s">
        <v>486</v>
      </c>
      <c r="B14" s="66"/>
    </row>
    <row r="15" spans="1:4" ht="4.9000000000000004" customHeight="1" x14ac:dyDescent="0.25"/>
    <row r="16" spans="1:4" x14ac:dyDescent="0.25">
      <c r="A16" s="111" t="s">
        <v>418</v>
      </c>
      <c r="B16" s="110" t="s">
        <v>419</v>
      </c>
    </row>
    <row r="17" spans="1:4" x14ac:dyDescent="0.25">
      <c r="A17" s="169"/>
      <c r="B17" s="170">
        <v>22.1</v>
      </c>
      <c r="D17" t="str">
        <f>"&lt;&lt;== actual number in cell = "&amp;IF(A17="",B17,A17)</f>
        <v>&lt;&lt;== actual number in cell = 22.1</v>
      </c>
    </row>
    <row r="18" spans="1:4" x14ac:dyDescent="0.25">
      <c r="A18" s="171">
        <v>5528.98</v>
      </c>
      <c r="B18" s="169"/>
      <c r="D18" t="str">
        <f t="shared" ref="D18:D22" si="2">"&lt;&lt;== actual number in cell = "&amp;IF(A18="",B18,A18)</f>
        <v>&lt;&lt;== actual number in cell = 5528.98</v>
      </c>
    </row>
    <row r="19" spans="1:4" x14ac:dyDescent="0.25">
      <c r="A19" s="171">
        <v>50.01</v>
      </c>
      <c r="B19" s="169"/>
      <c r="D19" t="str">
        <f t="shared" si="2"/>
        <v>&lt;&lt;== actual number in cell = 50.01</v>
      </c>
    </row>
    <row r="20" spans="1:4" x14ac:dyDescent="0.25">
      <c r="A20" s="171"/>
      <c r="B20" s="172">
        <v>5528.98</v>
      </c>
      <c r="D20" t="str">
        <f t="shared" si="2"/>
        <v>&lt;&lt;== actual number in cell = 5528.98</v>
      </c>
    </row>
    <row r="21" spans="1:4" x14ac:dyDescent="0.25">
      <c r="A21" s="171"/>
      <c r="B21" s="172">
        <v>50.01</v>
      </c>
      <c r="D21" t="str">
        <f t="shared" si="2"/>
        <v>&lt;&lt;== actual number in cell = 50.01</v>
      </c>
    </row>
    <row r="22" spans="1:4" x14ac:dyDescent="0.25">
      <c r="A22" s="171">
        <v>22.1</v>
      </c>
      <c r="B22" s="169"/>
      <c r="D22" t="str">
        <f t="shared" si="2"/>
        <v>&lt;&lt;== actual number in cell = 22.1</v>
      </c>
    </row>
    <row r="23" spans="1:4" x14ac:dyDescent="0.25">
      <c r="A23" s="173">
        <f t="shared" ref="A23" si="3">SUM(A17:A22)</f>
        <v>5601.09</v>
      </c>
      <c r="B23" s="173">
        <f t="shared" ref="B23" si="4">SUM(B17:B22)</f>
        <v>5601.09</v>
      </c>
    </row>
    <row r="25" spans="1:4" x14ac:dyDescent="0.25">
      <c r="A25" s="3" t="s">
        <v>485</v>
      </c>
      <c r="B25" s="174" t="b">
        <f>A23=B23</f>
        <v>1</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00FF"/>
  </sheetPr>
  <dimension ref="A1:D15"/>
  <sheetViews>
    <sheetView workbookViewId="0">
      <selection activeCell="C21" sqref="C21"/>
    </sheetView>
  </sheetViews>
  <sheetFormatPr defaultColWidth="10.28515625" defaultRowHeight="15" x14ac:dyDescent="0.25"/>
  <cols>
    <col min="1" max="1" width="13" customWidth="1"/>
    <col min="2" max="2" width="2.28515625" customWidth="1"/>
    <col min="3" max="3" width="16.7109375" customWidth="1"/>
    <col min="4" max="4" width="26.140625" customWidth="1"/>
  </cols>
  <sheetData>
    <row r="1" spans="1:4" ht="45" x14ac:dyDescent="0.25">
      <c r="A1" s="155" t="s">
        <v>487</v>
      </c>
      <c r="B1" s="155"/>
      <c r="C1" s="155"/>
      <c r="D1" s="155"/>
    </row>
    <row r="3" spans="1:4" x14ac:dyDescent="0.25">
      <c r="A3" s="110" t="s">
        <v>105</v>
      </c>
      <c r="C3" s="110" t="s">
        <v>241</v>
      </c>
    </row>
    <row r="4" spans="1:4" x14ac:dyDescent="0.25">
      <c r="A4" s="91">
        <v>40</v>
      </c>
      <c r="C4" s="91">
        <v>25</v>
      </c>
    </row>
    <row r="5" spans="1:4" x14ac:dyDescent="0.25">
      <c r="A5" s="91">
        <v>21</v>
      </c>
      <c r="C5" s="111"/>
    </row>
    <row r="6" spans="1:4" x14ac:dyDescent="0.25">
      <c r="A6" s="91">
        <v>42</v>
      </c>
      <c r="C6" s="53"/>
    </row>
    <row r="7" spans="1:4" x14ac:dyDescent="0.25">
      <c r="A7" s="91">
        <v>12</v>
      </c>
    </row>
    <row r="8" spans="1:4" x14ac:dyDescent="0.25">
      <c r="A8" s="91">
        <v>33</v>
      </c>
    </row>
    <row r="9" spans="1:4" x14ac:dyDescent="0.25">
      <c r="A9" s="91">
        <v>31</v>
      </c>
    </row>
    <row r="10" spans="1:4" x14ac:dyDescent="0.25">
      <c r="A10" s="91">
        <v>41</v>
      </c>
    </row>
    <row r="11" spans="1:4" x14ac:dyDescent="0.25">
      <c r="A11" s="91">
        <v>48</v>
      </c>
    </row>
    <row r="12" spans="1:4" x14ac:dyDescent="0.25">
      <c r="A12" s="91">
        <v>47</v>
      </c>
    </row>
    <row r="13" spans="1:4" x14ac:dyDescent="0.25">
      <c r="A13" s="91">
        <v>25</v>
      </c>
    </row>
    <row r="14" spans="1:4" x14ac:dyDescent="0.25">
      <c r="A14" s="91">
        <v>25</v>
      </c>
    </row>
    <row r="15" spans="1:4" x14ac:dyDescent="0.25">
      <c r="A15" s="91">
        <v>20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V25"/>
  <sheetViews>
    <sheetView workbookViewId="0">
      <selection activeCell="C21" sqref="C21"/>
    </sheetView>
  </sheetViews>
  <sheetFormatPr defaultRowHeight="15" x14ac:dyDescent="0.25"/>
  <cols>
    <col min="1" max="4" width="10.42578125" customWidth="1"/>
    <col min="5" max="7" width="8.42578125" customWidth="1"/>
    <col min="8" max="8" width="16.140625" bestFit="1" customWidth="1"/>
    <col min="9" max="9" width="6.85546875" customWidth="1"/>
    <col min="10" max="10" width="9.85546875" bestFit="1" customWidth="1"/>
    <col min="11" max="11" width="33.140625" bestFit="1" customWidth="1"/>
    <col min="12" max="12" width="7.140625" customWidth="1"/>
    <col min="13" max="13" width="2.28515625" customWidth="1"/>
    <col min="18" max="18" width="5.5703125" customWidth="1"/>
    <col min="19" max="19" width="16.140625" bestFit="1" customWidth="1"/>
    <col min="20" max="24" width="16.140625" customWidth="1"/>
  </cols>
  <sheetData>
    <row r="1" spans="1:22" x14ac:dyDescent="0.25">
      <c r="A1" s="78" t="s">
        <v>199</v>
      </c>
      <c r="B1" s="78" t="s">
        <v>200</v>
      </c>
      <c r="C1" s="78" t="s">
        <v>201</v>
      </c>
      <c r="D1" s="78" t="s">
        <v>202</v>
      </c>
      <c r="E1" s="5"/>
      <c r="F1" s="5"/>
      <c r="G1" s="5"/>
    </row>
    <row r="2" spans="1:22" x14ac:dyDescent="0.25">
      <c r="A2" s="3">
        <v>10</v>
      </c>
      <c r="B2" s="3">
        <v>3</v>
      </c>
      <c r="C2" s="74">
        <v>5</v>
      </c>
      <c r="D2" s="79"/>
    </row>
    <row r="3" spans="1:22" x14ac:dyDescent="0.25">
      <c r="E3" s="5"/>
      <c r="F3" s="5"/>
      <c r="G3" s="5"/>
    </row>
    <row r="4" spans="1:22" ht="19.5" x14ac:dyDescent="0.3">
      <c r="A4" s="90" t="s">
        <v>223</v>
      </c>
    </row>
    <row r="6" spans="1:22" ht="19.5" x14ac:dyDescent="0.3">
      <c r="A6" s="90" t="s">
        <v>224</v>
      </c>
      <c r="D6" s="66" t="s">
        <v>203</v>
      </c>
      <c r="E6" s="66" t="str">
        <f ca="1">IF(_xlfn.ISFORMULA(E7),_xlfn.FORMULATEXT(E7),"")</f>
        <v/>
      </c>
    </row>
    <row r="7" spans="1:22" ht="19.5" x14ac:dyDescent="0.3">
      <c r="A7" s="90" t="s">
        <v>225</v>
      </c>
      <c r="D7" s="64"/>
      <c r="E7" s="64"/>
    </row>
    <row r="8" spans="1:22" ht="49.5" customHeight="1" x14ac:dyDescent="0.25"/>
    <row r="16" spans="1:22" x14ac:dyDescent="0.25">
      <c r="T16" s="5"/>
      <c r="U16" s="5"/>
      <c r="V16" s="5"/>
    </row>
    <row r="18" spans="1:4" x14ac:dyDescent="0.25">
      <c r="A18" s="5" t="s">
        <v>229</v>
      </c>
    </row>
    <row r="19" spans="1:4" x14ac:dyDescent="0.25">
      <c r="A19" t="s">
        <v>230</v>
      </c>
    </row>
    <row r="20" spans="1:4" x14ac:dyDescent="0.25">
      <c r="A20" t="s">
        <v>690</v>
      </c>
    </row>
    <row r="22" spans="1:4" x14ac:dyDescent="0.25">
      <c r="A22" s="78" t="s">
        <v>199</v>
      </c>
      <c r="B22" s="78" t="s">
        <v>200</v>
      </c>
      <c r="C22" s="78" t="s">
        <v>201</v>
      </c>
      <c r="D22" s="78" t="s">
        <v>202</v>
      </c>
    </row>
    <row r="23" spans="1:4" x14ac:dyDescent="0.25">
      <c r="A23" s="3">
        <v>10</v>
      </c>
      <c r="B23" s="3">
        <v>3</v>
      </c>
      <c r="C23" s="74">
        <v>5</v>
      </c>
      <c r="D23" s="79"/>
    </row>
    <row r="24" spans="1:4" x14ac:dyDescent="0.25">
      <c r="A24" s="78" t="s">
        <v>199</v>
      </c>
      <c r="B24" s="78" t="s">
        <v>200</v>
      </c>
      <c r="C24" s="78" t="s">
        <v>201</v>
      </c>
      <c r="D24" s="78" t="s">
        <v>202</v>
      </c>
    </row>
    <row r="25" spans="1:4" x14ac:dyDescent="0.25">
      <c r="A25" s="3">
        <v>10</v>
      </c>
      <c r="B25" s="3">
        <v>3</v>
      </c>
      <c r="C25" s="74">
        <v>5</v>
      </c>
      <c r="D25" s="79"/>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D15"/>
  <sheetViews>
    <sheetView workbookViewId="0">
      <selection activeCell="C21" sqref="C21"/>
    </sheetView>
  </sheetViews>
  <sheetFormatPr defaultColWidth="10.28515625" defaultRowHeight="15" x14ac:dyDescent="0.25"/>
  <cols>
    <col min="1" max="1" width="13" customWidth="1"/>
    <col min="2" max="2" width="2.28515625" customWidth="1"/>
    <col min="3" max="3" width="16.7109375" customWidth="1"/>
    <col min="4" max="4" width="26.140625" customWidth="1"/>
  </cols>
  <sheetData>
    <row r="1" spans="1:4" ht="45" x14ac:dyDescent="0.25">
      <c r="A1" s="155" t="s">
        <v>487</v>
      </c>
      <c r="B1" s="155"/>
      <c r="C1" s="155"/>
      <c r="D1" s="155"/>
    </row>
    <row r="3" spans="1:4" x14ac:dyDescent="0.25">
      <c r="A3" s="110" t="s">
        <v>105</v>
      </c>
      <c r="C3" s="110" t="s">
        <v>241</v>
      </c>
    </row>
    <row r="4" spans="1:4" x14ac:dyDescent="0.25">
      <c r="A4" s="91">
        <v>40</v>
      </c>
      <c r="C4" s="91">
        <v>25</v>
      </c>
    </row>
    <row r="5" spans="1:4" ht="45" x14ac:dyDescent="0.25">
      <c r="A5" s="91">
        <v>21</v>
      </c>
      <c r="C5" s="111" t="str">
        <f>"Total Sales Greater Than Or Equal To "&amp;DOLLAR(C4)</f>
        <v>Total Sales Greater Than Or Equal To $25.00</v>
      </c>
    </row>
    <row r="6" spans="1:4" x14ac:dyDescent="0.25">
      <c r="A6" s="91">
        <v>42</v>
      </c>
      <c r="C6" s="53">
        <f>SUMIFS(A4:A15,A4:A15,"&gt;="&amp;C4)</f>
        <v>332</v>
      </c>
    </row>
    <row r="7" spans="1:4" x14ac:dyDescent="0.25">
      <c r="A7" s="91">
        <v>12</v>
      </c>
    </row>
    <row r="8" spans="1:4" x14ac:dyDescent="0.25">
      <c r="A8" s="91">
        <v>33</v>
      </c>
      <c r="C8" s="1" t="s">
        <v>488</v>
      </c>
    </row>
    <row r="9" spans="1:4" x14ac:dyDescent="0.25">
      <c r="A9" s="91">
        <v>31</v>
      </c>
      <c r="C9" s="53">
        <f>SUMIF(A4:A15,"&gt;="&amp;C4)</f>
        <v>332</v>
      </c>
    </row>
    <row r="10" spans="1:4" x14ac:dyDescent="0.25">
      <c r="A10" s="91">
        <v>41</v>
      </c>
    </row>
    <row r="11" spans="1:4" x14ac:dyDescent="0.25">
      <c r="A11" s="91">
        <v>48</v>
      </c>
    </row>
    <row r="12" spans="1:4" x14ac:dyDescent="0.25">
      <c r="A12" s="91">
        <v>47</v>
      </c>
    </row>
    <row r="13" spans="1:4" x14ac:dyDescent="0.25">
      <c r="A13" s="91">
        <v>25</v>
      </c>
    </row>
    <row r="14" spans="1:4" x14ac:dyDescent="0.25">
      <c r="A14" s="91">
        <v>25</v>
      </c>
    </row>
    <row r="15" spans="1:4" x14ac:dyDescent="0.25">
      <c r="A15" s="91">
        <v>20</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00FF"/>
  </sheetPr>
  <dimension ref="A1:E8"/>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 min="5" max="5" width="18.28515625" bestFit="1" customWidth="1"/>
  </cols>
  <sheetData>
    <row r="1" spans="1:5" ht="45" x14ac:dyDescent="0.25">
      <c r="A1" s="155" t="s">
        <v>489</v>
      </c>
      <c r="B1" s="155"/>
      <c r="C1" s="155"/>
      <c r="D1" s="155"/>
    </row>
    <row r="3" spans="1:5" x14ac:dyDescent="0.25">
      <c r="A3" s="175" t="s">
        <v>490</v>
      </c>
      <c r="B3" s="176"/>
      <c r="C3" s="176"/>
      <c r="D3" s="176"/>
      <c r="E3" s="177"/>
    </row>
    <row r="4" spans="1:5" x14ac:dyDescent="0.25">
      <c r="A4" s="178" t="s">
        <v>491</v>
      </c>
      <c r="B4" s="178" t="s">
        <v>492</v>
      </c>
      <c r="C4" s="178" t="s">
        <v>493</v>
      </c>
      <c r="D4" s="178" t="s">
        <v>494</v>
      </c>
      <c r="E4" s="178" t="s">
        <v>495</v>
      </c>
    </row>
    <row r="5" spans="1:5" x14ac:dyDescent="0.25">
      <c r="A5" s="179" t="s">
        <v>277</v>
      </c>
      <c r="B5" s="3">
        <v>18.25</v>
      </c>
      <c r="C5" s="3">
        <v>21.5</v>
      </c>
      <c r="D5" s="3">
        <v>43.69</v>
      </c>
      <c r="E5" s="64"/>
    </row>
    <row r="6" spans="1:5" x14ac:dyDescent="0.25">
      <c r="A6" s="179" t="s">
        <v>496</v>
      </c>
      <c r="B6" s="3">
        <v>69.430000000000007</v>
      </c>
      <c r="C6" s="3">
        <v>18</v>
      </c>
      <c r="D6" s="3">
        <v>21.75</v>
      </c>
      <c r="E6" s="64"/>
    </row>
    <row r="7" spans="1:5" x14ac:dyDescent="0.25">
      <c r="A7" s="179" t="s">
        <v>497</v>
      </c>
      <c r="B7" s="3">
        <v>27.49</v>
      </c>
      <c r="C7" s="3">
        <v>16.2</v>
      </c>
      <c r="D7" s="3">
        <v>31.5</v>
      </c>
      <c r="E7" s="64"/>
    </row>
    <row r="8" spans="1:5" x14ac:dyDescent="0.25">
      <c r="A8" s="179" t="s">
        <v>498</v>
      </c>
      <c r="B8" s="3">
        <v>20.55</v>
      </c>
      <c r="C8" s="3"/>
      <c r="D8" s="3">
        <v>19.21</v>
      </c>
      <c r="E8" s="64"/>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0000"/>
  </sheetPr>
  <dimension ref="A1:E8"/>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 min="5" max="5" width="18.28515625" bestFit="1" customWidth="1"/>
  </cols>
  <sheetData>
    <row r="1" spans="1:5" ht="45" x14ac:dyDescent="0.25">
      <c r="A1" s="155" t="s">
        <v>489</v>
      </c>
      <c r="B1" s="155"/>
      <c r="C1" s="155"/>
      <c r="D1" s="155"/>
    </row>
    <row r="3" spans="1:5" x14ac:dyDescent="0.25">
      <c r="A3" s="175" t="s">
        <v>490</v>
      </c>
      <c r="B3" s="176"/>
      <c r="C3" s="176"/>
      <c r="D3" s="176"/>
      <c r="E3" s="177"/>
    </row>
    <row r="4" spans="1:5" x14ac:dyDescent="0.25">
      <c r="A4" s="178" t="s">
        <v>491</v>
      </c>
      <c r="B4" s="178" t="s">
        <v>492</v>
      </c>
      <c r="C4" s="178" t="s">
        <v>493</v>
      </c>
      <c r="D4" s="178" t="s">
        <v>494</v>
      </c>
      <c r="E4" s="178" t="s">
        <v>495</v>
      </c>
    </row>
    <row r="5" spans="1:5" x14ac:dyDescent="0.25">
      <c r="A5" s="179" t="s">
        <v>277</v>
      </c>
      <c r="B5" s="3">
        <v>18.25</v>
      </c>
      <c r="C5" s="3">
        <v>21.5</v>
      </c>
      <c r="D5" s="3">
        <v>43.69</v>
      </c>
      <c r="E5" s="64">
        <f>SUM(SMALL(B5:D5,{1,2}))</f>
        <v>39.75</v>
      </c>
    </row>
    <row r="6" spans="1:5" x14ac:dyDescent="0.25">
      <c r="A6" s="179" t="s">
        <v>496</v>
      </c>
      <c r="B6" s="3">
        <v>69.430000000000007</v>
      </c>
      <c r="C6" s="3">
        <v>18</v>
      </c>
      <c r="D6" s="3">
        <v>21.75</v>
      </c>
      <c r="E6" s="64">
        <f>SUM(SMALL(B6:D6,{1,2}))</f>
        <v>39.75</v>
      </c>
    </row>
    <row r="7" spans="1:5" x14ac:dyDescent="0.25">
      <c r="A7" s="179" t="s">
        <v>497</v>
      </c>
      <c r="B7" s="3">
        <v>27.49</v>
      </c>
      <c r="C7" s="3">
        <v>16.2</v>
      </c>
      <c r="D7" s="3">
        <v>31.5</v>
      </c>
      <c r="E7" s="64">
        <f>SUM(SMALL(B7:D7,{1,2}))</f>
        <v>43.69</v>
      </c>
    </row>
    <row r="8" spans="1:5" x14ac:dyDescent="0.25">
      <c r="A8" s="179" t="s">
        <v>498</v>
      </c>
      <c r="B8" s="3">
        <v>20.55</v>
      </c>
      <c r="C8" s="3"/>
      <c r="D8" s="3">
        <v>19.21</v>
      </c>
      <c r="E8" s="64">
        <f>SUM(SMALL(B8:D8,{1,2}))</f>
        <v>39.760000000000005</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00FF"/>
  </sheetPr>
  <dimension ref="A1:D36"/>
  <sheetViews>
    <sheetView workbookViewId="0">
      <selection activeCell="C21" sqref="C21"/>
    </sheetView>
  </sheetViews>
  <sheetFormatPr defaultColWidth="10.28515625" defaultRowHeight="15" x14ac:dyDescent="0.25"/>
  <cols>
    <col min="1" max="1" width="19.5703125" bestFit="1" customWidth="1"/>
    <col min="2" max="2" width="21.5703125" customWidth="1"/>
    <col min="3" max="3" width="12.28515625" bestFit="1" customWidth="1"/>
    <col min="4" max="4" width="13.85546875" bestFit="1" customWidth="1"/>
  </cols>
  <sheetData>
    <row r="1" spans="1:4" ht="30" x14ac:dyDescent="0.25">
      <c r="A1" s="155" t="s">
        <v>499</v>
      </c>
      <c r="B1" s="155"/>
      <c r="C1" s="155"/>
      <c r="D1" s="155"/>
    </row>
    <row r="3" spans="1:4" ht="45" x14ac:dyDescent="0.25">
      <c r="A3" s="52" t="s">
        <v>500</v>
      </c>
      <c r="B3" s="52" t="s">
        <v>501</v>
      </c>
    </row>
    <row r="4" spans="1:4" x14ac:dyDescent="0.25">
      <c r="A4" s="64"/>
      <c r="B4" s="64"/>
    </row>
    <row r="6" spans="1:4" x14ac:dyDescent="0.25">
      <c r="A6" s="1" t="s">
        <v>502</v>
      </c>
      <c r="B6" s="1" t="s">
        <v>503</v>
      </c>
    </row>
    <row r="7" spans="1:4" x14ac:dyDescent="0.25">
      <c r="A7" s="3" t="s">
        <v>504</v>
      </c>
      <c r="B7" s="3">
        <v>26</v>
      </c>
    </row>
    <row r="8" spans="1:4" x14ac:dyDescent="0.25">
      <c r="A8" s="3" t="s">
        <v>505</v>
      </c>
      <c r="B8" s="3">
        <v>35</v>
      </c>
    </row>
    <row r="9" spans="1:4" x14ac:dyDescent="0.25">
      <c r="A9" s="3" t="s">
        <v>506</v>
      </c>
      <c r="B9" s="3">
        <v>21</v>
      </c>
    </row>
    <row r="10" spans="1:4" x14ac:dyDescent="0.25">
      <c r="A10" s="3" t="s">
        <v>507</v>
      </c>
      <c r="B10" s="3">
        <v>32</v>
      </c>
    </row>
    <row r="11" spans="1:4" x14ac:dyDescent="0.25">
      <c r="A11" s="3" t="s">
        <v>508</v>
      </c>
      <c r="B11" s="3">
        <v>25</v>
      </c>
    </row>
    <row r="12" spans="1:4" x14ac:dyDescent="0.25">
      <c r="A12" s="3" t="s">
        <v>509</v>
      </c>
      <c r="B12" s="3">
        <v>25</v>
      </c>
    </row>
    <row r="13" spans="1:4" x14ac:dyDescent="0.25">
      <c r="A13" s="3" t="s">
        <v>510</v>
      </c>
      <c r="B13" s="3">
        <v>43</v>
      </c>
    </row>
    <row r="14" spans="1:4" x14ac:dyDescent="0.25">
      <c r="A14" s="3" t="s">
        <v>511</v>
      </c>
      <c r="B14" s="3">
        <v>32</v>
      </c>
    </row>
    <row r="15" spans="1:4" x14ac:dyDescent="0.25">
      <c r="A15" s="3" t="s">
        <v>512</v>
      </c>
      <c r="B15" s="3">
        <v>30</v>
      </c>
    </row>
    <row r="16" spans="1:4" x14ac:dyDescent="0.25">
      <c r="A16" s="3" t="s">
        <v>513</v>
      </c>
      <c r="B16" s="3">
        <v>40</v>
      </c>
    </row>
    <row r="17" spans="1:2" x14ac:dyDescent="0.25">
      <c r="A17" s="3" t="s">
        <v>514</v>
      </c>
      <c r="B17" s="3">
        <v>38</v>
      </c>
    </row>
    <row r="18" spans="1:2" x14ac:dyDescent="0.25">
      <c r="A18" s="3" t="s">
        <v>515</v>
      </c>
      <c r="B18" s="3">
        <v>38</v>
      </c>
    </row>
    <row r="19" spans="1:2" x14ac:dyDescent="0.25">
      <c r="A19" s="3" t="s">
        <v>516</v>
      </c>
      <c r="B19" s="3">
        <v>38</v>
      </c>
    </row>
    <row r="20" spans="1:2" x14ac:dyDescent="0.25">
      <c r="A20" s="3" t="s">
        <v>517</v>
      </c>
      <c r="B20" s="3">
        <v>35</v>
      </c>
    </row>
    <row r="21" spans="1:2" x14ac:dyDescent="0.25">
      <c r="A21" s="3" t="s">
        <v>518</v>
      </c>
      <c r="B21" s="3">
        <v>24</v>
      </c>
    </row>
    <row r="22" spans="1:2" x14ac:dyDescent="0.25">
      <c r="A22" s="3" t="s">
        <v>519</v>
      </c>
      <c r="B22" s="3">
        <v>24</v>
      </c>
    </row>
    <row r="23" spans="1:2" x14ac:dyDescent="0.25">
      <c r="A23" s="3" t="s">
        <v>520</v>
      </c>
      <c r="B23" s="3">
        <v>24</v>
      </c>
    </row>
    <row r="24" spans="1:2" x14ac:dyDescent="0.25">
      <c r="A24" s="3" t="s">
        <v>521</v>
      </c>
      <c r="B24" s="3">
        <v>22</v>
      </c>
    </row>
    <row r="25" spans="1:2" x14ac:dyDescent="0.25">
      <c r="A25" s="3" t="s">
        <v>522</v>
      </c>
      <c r="B25" s="3">
        <v>39</v>
      </c>
    </row>
    <row r="26" spans="1:2" x14ac:dyDescent="0.25">
      <c r="A26" s="3"/>
      <c r="B26" s="3">
        <v>41</v>
      </c>
    </row>
    <row r="27" spans="1:2" x14ac:dyDescent="0.25">
      <c r="A27" s="3" t="s">
        <v>523</v>
      </c>
      <c r="B27" s="3">
        <v>35</v>
      </c>
    </row>
    <row r="28" spans="1:2" x14ac:dyDescent="0.25">
      <c r="A28" s="3" t="s">
        <v>524</v>
      </c>
      <c r="B28" s="3">
        <v>29</v>
      </c>
    </row>
    <row r="29" spans="1:2" x14ac:dyDescent="0.25">
      <c r="A29" s="3" t="s">
        <v>525</v>
      </c>
      <c r="B29" s="3">
        <v>22</v>
      </c>
    </row>
    <row r="30" spans="1:2" x14ac:dyDescent="0.25">
      <c r="A30" s="3" t="s">
        <v>526</v>
      </c>
      <c r="B30" s="3"/>
    </row>
    <row r="31" spans="1:2" x14ac:dyDescent="0.25">
      <c r="A31" s="3" t="s">
        <v>527</v>
      </c>
      <c r="B31" s="3">
        <v>23</v>
      </c>
    </row>
    <row r="32" spans="1:2" x14ac:dyDescent="0.25">
      <c r="A32" s="3" t="s">
        <v>528</v>
      </c>
      <c r="B32" s="3">
        <v>35</v>
      </c>
    </row>
    <row r="33" spans="1:2" x14ac:dyDescent="0.25">
      <c r="A33" s="3"/>
      <c r="B33" s="3">
        <v>31</v>
      </c>
    </row>
    <row r="34" spans="1:2" x14ac:dyDescent="0.25">
      <c r="A34" s="3" t="s">
        <v>529</v>
      </c>
      <c r="B34" s="3">
        <v>35</v>
      </c>
    </row>
    <row r="35" spans="1:2" x14ac:dyDescent="0.25">
      <c r="A35" s="3" t="s">
        <v>530</v>
      </c>
      <c r="B35" s="3">
        <v>22</v>
      </c>
    </row>
    <row r="36" spans="1:2" x14ac:dyDescent="0.25">
      <c r="A36" s="3" t="s">
        <v>531</v>
      </c>
      <c r="B36" s="3">
        <v>28</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D36"/>
  <sheetViews>
    <sheetView topLeftCell="A24" workbookViewId="0">
      <selection activeCell="C21" sqref="C21"/>
    </sheetView>
  </sheetViews>
  <sheetFormatPr defaultColWidth="10.28515625" defaultRowHeight="15" x14ac:dyDescent="0.25"/>
  <cols>
    <col min="1" max="1" width="19.5703125" bestFit="1" customWidth="1"/>
    <col min="2" max="2" width="21.5703125" customWidth="1"/>
    <col min="3" max="3" width="1.5703125" customWidth="1"/>
    <col min="4" max="4" width="24.7109375" customWidth="1"/>
  </cols>
  <sheetData>
    <row r="1" spans="1:4" ht="30" x14ac:dyDescent="0.25">
      <c r="A1" s="155" t="s">
        <v>499</v>
      </c>
      <c r="B1" s="155"/>
      <c r="C1" s="155"/>
      <c r="D1" s="155"/>
    </row>
    <row r="3" spans="1:4" ht="45" x14ac:dyDescent="0.25">
      <c r="A3" s="52" t="s">
        <v>500</v>
      </c>
      <c r="B3" s="52" t="s">
        <v>501</v>
      </c>
      <c r="D3" s="4" t="s">
        <v>532</v>
      </c>
    </row>
    <row r="4" spans="1:4" x14ac:dyDescent="0.25">
      <c r="A4" s="64">
        <f>COUNTA(A7:A36)</f>
        <v>28</v>
      </c>
      <c r="B4" s="64">
        <f>COUNT(B7:B36)</f>
        <v>29</v>
      </c>
      <c r="D4" s="3" t="s">
        <v>533</v>
      </c>
    </row>
    <row r="6" spans="1:4" x14ac:dyDescent="0.25">
      <c r="A6" s="1" t="s">
        <v>502</v>
      </c>
      <c r="B6" s="1" t="s">
        <v>503</v>
      </c>
    </row>
    <row r="7" spans="1:4" x14ac:dyDescent="0.25">
      <c r="A7" s="3" t="s">
        <v>504</v>
      </c>
      <c r="B7" s="3">
        <v>26</v>
      </c>
    </row>
    <row r="8" spans="1:4" x14ac:dyDescent="0.25">
      <c r="A8" s="3" t="s">
        <v>505</v>
      </c>
      <c r="B8" s="3">
        <v>35</v>
      </c>
    </row>
    <row r="9" spans="1:4" x14ac:dyDescent="0.25">
      <c r="A9" s="3" t="s">
        <v>506</v>
      </c>
      <c r="B9" s="3">
        <v>21</v>
      </c>
    </row>
    <row r="10" spans="1:4" x14ac:dyDescent="0.25">
      <c r="A10" s="3" t="s">
        <v>507</v>
      </c>
      <c r="B10" s="3">
        <v>32</v>
      </c>
    </row>
    <row r="11" spans="1:4" x14ac:dyDescent="0.25">
      <c r="A11" s="3" t="s">
        <v>508</v>
      </c>
      <c r="B11" s="3">
        <v>25</v>
      </c>
    </row>
    <row r="12" spans="1:4" x14ac:dyDescent="0.25">
      <c r="A12" s="3" t="s">
        <v>509</v>
      </c>
      <c r="B12" s="3">
        <v>25</v>
      </c>
    </row>
    <row r="13" spans="1:4" x14ac:dyDescent="0.25">
      <c r="A13" s="3" t="s">
        <v>510</v>
      </c>
      <c r="B13" s="3">
        <v>43</v>
      </c>
    </row>
    <row r="14" spans="1:4" x14ac:dyDescent="0.25">
      <c r="A14" s="3" t="s">
        <v>511</v>
      </c>
      <c r="B14" s="3">
        <v>32</v>
      </c>
    </row>
    <row r="15" spans="1:4" x14ac:dyDescent="0.25">
      <c r="A15" s="3" t="s">
        <v>512</v>
      </c>
      <c r="B15" s="3">
        <v>30</v>
      </c>
    </row>
    <row r="16" spans="1:4" x14ac:dyDescent="0.25">
      <c r="A16" s="3" t="s">
        <v>513</v>
      </c>
      <c r="B16" s="3">
        <v>40</v>
      </c>
    </row>
    <row r="17" spans="1:2" x14ac:dyDescent="0.25">
      <c r="A17" s="3" t="s">
        <v>514</v>
      </c>
      <c r="B17" s="3">
        <v>38</v>
      </c>
    </row>
    <row r="18" spans="1:2" x14ac:dyDescent="0.25">
      <c r="A18" s="3" t="s">
        <v>515</v>
      </c>
      <c r="B18" s="3">
        <v>38</v>
      </c>
    </row>
    <row r="19" spans="1:2" x14ac:dyDescent="0.25">
      <c r="A19" s="3" t="s">
        <v>516</v>
      </c>
      <c r="B19" s="3">
        <v>38</v>
      </c>
    </row>
    <row r="20" spans="1:2" x14ac:dyDescent="0.25">
      <c r="A20" s="3" t="s">
        <v>517</v>
      </c>
      <c r="B20" s="3">
        <v>35</v>
      </c>
    </row>
    <row r="21" spans="1:2" x14ac:dyDescent="0.25">
      <c r="A21" s="3" t="s">
        <v>518</v>
      </c>
      <c r="B21" s="3">
        <v>24</v>
      </c>
    </row>
    <row r="22" spans="1:2" x14ac:dyDescent="0.25">
      <c r="A22" s="3" t="s">
        <v>519</v>
      </c>
      <c r="B22" s="3">
        <v>24</v>
      </c>
    </row>
    <row r="23" spans="1:2" x14ac:dyDescent="0.25">
      <c r="A23" s="3" t="s">
        <v>520</v>
      </c>
      <c r="B23" s="3">
        <v>24</v>
      </c>
    </row>
    <row r="24" spans="1:2" x14ac:dyDescent="0.25">
      <c r="A24" s="3" t="s">
        <v>521</v>
      </c>
      <c r="B24" s="3">
        <v>22</v>
      </c>
    </row>
    <row r="25" spans="1:2" x14ac:dyDescent="0.25">
      <c r="A25" s="3" t="s">
        <v>522</v>
      </c>
      <c r="B25" s="3">
        <v>39</v>
      </c>
    </row>
    <row r="26" spans="1:2" x14ac:dyDescent="0.25">
      <c r="A26" s="3"/>
      <c r="B26" s="3">
        <v>41</v>
      </c>
    </row>
    <row r="27" spans="1:2" x14ac:dyDescent="0.25">
      <c r="A27" s="3" t="s">
        <v>523</v>
      </c>
      <c r="B27" s="3">
        <v>35</v>
      </c>
    </row>
    <row r="28" spans="1:2" x14ac:dyDescent="0.25">
      <c r="A28" s="3" t="s">
        <v>524</v>
      </c>
      <c r="B28" s="3">
        <v>29</v>
      </c>
    </row>
    <row r="29" spans="1:2" x14ac:dyDescent="0.25">
      <c r="A29" s="3" t="s">
        <v>525</v>
      </c>
      <c r="B29" s="3">
        <v>22</v>
      </c>
    </row>
    <row r="30" spans="1:2" x14ac:dyDescent="0.25">
      <c r="A30" s="3" t="s">
        <v>526</v>
      </c>
      <c r="B30" s="3"/>
    </row>
    <row r="31" spans="1:2" x14ac:dyDescent="0.25">
      <c r="A31" s="3" t="s">
        <v>527</v>
      </c>
      <c r="B31" s="3">
        <v>23</v>
      </c>
    </row>
    <row r="32" spans="1:2" x14ac:dyDescent="0.25">
      <c r="A32" s="3" t="s">
        <v>528</v>
      </c>
      <c r="B32" s="3">
        <v>35</v>
      </c>
    </row>
    <row r="33" spans="1:2" x14ac:dyDescent="0.25">
      <c r="A33" s="3"/>
      <c r="B33" s="3">
        <v>31</v>
      </c>
    </row>
    <row r="34" spans="1:2" x14ac:dyDescent="0.25">
      <c r="A34" s="3" t="s">
        <v>529</v>
      </c>
      <c r="B34" s="3">
        <v>35</v>
      </c>
    </row>
    <row r="35" spans="1:2" x14ac:dyDescent="0.25">
      <c r="A35" s="3" t="s">
        <v>530</v>
      </c>
      <c r="B35" s="3">
        <v>22</v>
      </c>
    </row>
    <row r="36" spans="1:2" x14ac:dyDescent="0.25">
      <c r="A36" s="3" t="s">
        <v>531</v>
      </c>
      <c r="B36" s="3">
        <v>28</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00FF"/>
  </sheetPr>
  <dimension ref="A1:D13"/>
  <sheetViews>
    <sheetView workbookViewId="0">
      <selection activeCell="C21" sqref="C21"/>
    </sheetView>
  </sheetViews>
  <sheetFormatPr defaultColWidth="10.28515625" defaultRowHeight="15" x14ac:dyDescent="0.25"/>
  <cols>
    <col min="1" max="1" width="22.28515625" bestFit="1" customWidth="1"/>
    <col min="2" max="2" width="13.85546875" bestFit="1" customWidth="1"/>
    <col min="3" max="3" width="12.28515625" bestFit="1" customWidth="1"/>
    <col min="4" max="4" width="18" customWidth="1"/>
  </cols>
  <sheetData>
    <row r="1" spans="1:4" ht="30" x14ac:dyDescent="0.25">
      <c r="A1" s="155" t="s">
        <v>534</v>
      </c>
      <c r="B1" s="155"/>
      <c r="C1" s="155"/>
      <c r="D1" s="155"/>
    </row>
    <row r="3" spans="1:4" x14ac:dyDescent="0.25">
      <c r="A3" s="3" t="s">
        <v>89</v>
      </c>
      <c r="B3" s="54">
        <v>0.33333333333333331</v>
      </c>
    </row>
    <row r="4" spans="1:4" x14ac:dyDescent="0.25">
      <c r="A4" s="3" t="s">
        <v>90</v>
      </c>
      <c r="B4" s="54">
        <v>0.72916666666666663</v>
      </c>
    </row>
    <row r="5" spans="1:4" x14ac:dyDescent="0.25">
      <c r="A5" s="179" t="s">
        <v>535</v>
      </c>
      <c r="B5" s="64"/>
    </row>
    <row r="7" spans="1:4" x14ac:dyDescent="0.25">
      <c r="A7" s="3" t="s">
        <v>89</v>
      </c>
      <c r="B7" s="54">
        <v>0.33333333333333331</v>
      </c>
    </row>
    <row r="8" spans="1:4" x14ac:dyDescent="0.25">
      <c r="A8" s="3" t="s">
        <v>90</v>
      </c>
      <c r="B8" s="54">
        <v>0.47916666666666669</v>
      </c>
    </row>
    <row r="9" spans="1:4" x14ac:dyDescent="0.25">
      <c r="A9" s="3" t="s">
        <v>89</v>
      </c>
      <c r="B9" s="54">
        <v>0.58333333333333337</v>
      </c>
    </row>
    <row r="10" spans="1:4" x14ac:dyDescent="0.25">
      <c r="A10" s="3" t="s">
        <v>90</v>
      </c>
      <c r="B10" s="54">
        <v>0.8125</v>
      </c>
    </row>
    <row r="11" spans="1:4" x14ac:dyDescent="0.25">
      <c r="A11" s="3" t="s">
        <v>93</v>
      </c>
      <c r="B11" s="180"/>
    </row>
    <row r="12" spans="1:4" x14ac:dyDescent="0.25">
      <c r="A12" s="179" t="s">
        <v>536</v>
      </c>
      <c r="B12" s="162">
        <v>21.25</v>
      </c>
    </row>
    <row r="13" spans="1:4" x14ac:dyDescent="0.25">
      <c r="A13" s="3" t="s">
        <v>92</v>
      </c>
      <c r="B13" s="53"/>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0000"/>
  </sheetPr>
  <dimension ref="A1:D13"/>
  <sheetViews>
    <sheetView workbookViewId="0">
      <selection activeCell="C21" sqref="C21"/>
    </sheetView>
  </sheetViews>
  <sheetFormatPr defaultColWidth="10.28515625" defaultRowHeight="15" x14ac:dyDescent="0.25"/>
  <cols>
    <col min="1" max="1" width="22.28515625" bestFit="1" customWidth="1"/>
    <col min="2" max="2" width="13.85546875" bestFit="1" customWidth="1"/>
    <col min="3" max="3" width="12.28515625" bestFit="1" customWidth="1"/>
    <col min="4" max="4" width="18" customWidth="1"/>
  </cols>
  <sheetData>
    <row r="1" spans="1:4" ht="30" x14ac:dyDescent="0.25">
      <c r="A1" s="155" t="s">
        <v>534</v>
      </c>
      <c r="B1" s="155"/>
      <c r="C1" s="155"/>
      <c r="D1" s="155"/>
    </row>
    <row r="3" spans="1:4" x14ac:dyDescent="0.25">
      <c r="A3" s="3" t="s">
        <v>89</v>
      </c>
      <c r="B3" s="54">
        <v>0.33333333333333331</v>
      </c>
    </row>
    <row r="4" spans="1:4" x14ac:dyDescent="0.25">
      <c r="A4" s="3" t="s">
        <v>90</v>
      </c>
      <c r="B4" s="54">
        <v>0.72916666666666663</v>
      </c>
    </row>
    <row r="5" spans="1:4" x14ac:dyDescent="0.25">
      <c r="A5" s="179" t="s">
        <v>535</v>
      </c>
      <c r="B5" s="64">
        <f>(B4-B3)*24</f>
        <v>9.5</v>
      </c>
    </row>
    <row r="7" spans="1:4" x14ac:dyDescent="0.25">
      <c r="A7" s="3" t="s">
        <v>89</v>
      </c>
      <c r="B7" s="54">
        <v>0.33333333333333331</v>
      </c>
    </row>
    <row r="8" spans="1:4" x14ac:dyDescent="0.25">
      <c r="A8" s="3" t="s">
        <v>90</v>
      </c>
      <c r="B8" s="54">
        <v>0.47916666666666669</v>
      </c>
    </row>
    <row r="9" spans="1:4" x14ac:dyDescent="0.25">
      <c r="A9" s="3" t="s">
        <v>89</v>
      </c>
      <c r="B9" s="54">
        <v>0.58333333333333337</v>
      </c>
    </row>
    <row r="10" spans="1:4" x14ac:dyDescent="0.25">
      <c r="A10" s="3" t="s">
        <v>90</v>
      </c>
      <c r="B10" s="54">
        <v>0.8125</v>
      </c>
    </row>
    <row r="11" spans="1:4" x14ac:dyDescent="0.25">
      <c r="A11" s="3" t="s">
        <v>93</v>
      </c>
      <c r="B11" s="180">
        <f>SUM(B8-B7,B10-B9)*24</f>
        <v>9</v>
      </c>
    </row>
    <row r="12" spans="1:4" x14ac:dyDescent="0.25">
      <c r="A12" s="179" t="s">
        <v>536</v>
      </c>
      <c r="B12" s="162">
        <v>21.25</v>
      </c>
    </row>
    <row r="13" spans="1:4" x14ac:dyDescent="0.25">
      <c r="A13" s="3" t="s">
        <v>92</v>
      </c>
      <c r="B13" s="53">
        <f>B12*B11</f>
        <v>191.25</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00FF"/>
  </sheetPr>
  <dimension ref="A1:D14"/>
  <sheetViews>
    <sheetView workbookViewId="0">
      <selection activeCell="C21" sqref="C21"/>
    </sheetView>
  </sheetViews>
  <sheetFormatPr defaultColWidth="10.28515625" defaultRowHeight="15" x14ac:dyDescent="0.25"/>
  <cols>
    <col min="1" max="1" width="14" bestFit="1" customWidth="1"/>
    <col min="2" max="2" width="13.85546875" bestFit="1" customWidth="1"/>
    <col min="3" max="3" width="16" bestFit="1" customWidth="1"/>
    <col min="4" max="4" width="13.85546875" bestFit="1" customWidth="1"/>
  </cols>
  <sheetData>
    <row r="1" spans="1:4" ht="60" x14ac:dyDescent="0.25">
      <c r="A1" s="155" t="s">
        <v>537</v>
      </c>
      <c r="B1" s="155"/>
      <c r="C1" s="155"/>
      <c r="D1" s="155"/>
    </row>
    <row r="3" spans="1:4" x14ac:dyDescent="0.25">
      <c r="A3" s="1" t="s">
        <v>538</v>
      </c>
      <c r="B3" s="1" t="s">
        <v>539</v>
      </c>
      <c r="C3" s="1" t="s">
        <v>540</v>
      </c>
      <c r="D3" s="1" t="s">
        <v>541</v>
      </c>
    </row>
    <row r="4" spans="1:4" x14ac:dyDescent="0.25">
      <c r="A4" s="3">
        <v>12550</v>
      </c>
      <c r="B4" s="71">
        <v>40587</v>
      </c>
      <c r="C4" s="71">
        <v>40609</v>
      </c>
      <c r="D4" s="64"/>
    </row>
    <row r="5" spans="1:4" x14ac:dyDescent="0.25">
      <c r="A5" s="3">
        <v>12551</v>
      </c>
      <c r="B5" s="71">
        <v>40587</v>
      </c>
      <c r="C5" s="71">
        <v>40610</v>
      </c>
      <c r="D5" s="64"/>
    </row>
    <row r="6" spans="1:4" x14ac:dyDescent="0.25">
      <c r="A6" s="3">
        <v>12552</v>
      </c>
      <c r="B6" s="71">
        <v>40587</v>
      </c>
      <c r="C6" s="71">
        <v>40646</v>
      </c>
      <c r="D6" s="64"/>
    </row>
    <row r="7" spans="1:4" x14ac:dyDescent="0.25">
      <c r="A7" s="3">
        <v>12553</v>
      </c>
      <c r="B7" s="71">
        <v>40588</v>
      </c>
      <c r="C7" s="71">
        <v>40652</v>
      </c>
      <c r="D7" s="64"/>
    </row>
    <row r="8" spans="1:4" x14ac:dyDescent="0.25">
      <c r="A8" s="3">
        <v>12554</v>
      </c>
      <c r="B8" s="71">
        <v>40589</v>
      </c>
      <c r="C8" s="71">
        <v>40594</v>
      </c>
      <c r="D8" s="64"/>
    </row>
    <row r="9" spans="1:4" x14ac:dyDescent="0.25">
      <c r="A9" s="3">
        <v>12555</v>
      </c>
      <c r="B9" s="71">
        <v>40589</v>
      </c>
      <c r="C9" s="71">
        <v>40621</v>
      </c>
      <c r="D9" s="64"/>
    </row>
    <row r="10" spans="1:4" x14ac:dyDescent="0.25">
      <c r="A10" s="3">
        <v>12556</v>
      </c>
      <c r="B10" s="71">
        <v>40593</v>
      </c>
      <c r="C10" s="71">
        <v>40690</v>
      </c>
      <c r="D10" s="64"/>
    </row>
    <row r="11" spans="1:4" x14ac:dyDescent="0.25">
      <c r="A11" s="3">
        <v>12557</v>
      </c>
      <c r="B11" s="71">
        <v>40594</v>
      </c>
      <c r="C11" s="71">
        <v>40622</v>
      </c>
      <c r="D11" s="64"/>
    </row>
    <row r="12" spans="1:4" x14ac:dyDescent="0.25">
      <c r="A12" s="3">
        <v>12558</v>
      </c>
      <c r="B12" s="71">
        <v>40595</v>
      </c>
      <c r="C12" s="71">
        <v>40604</v>
      </c>
      <c r="D12" s="64"/>
    </row>
    <row r="14" spans="1:4" x14ac:dyDescent="0.25">
      <c r="C14" s="1" t="s">
        <v>542</v>
      </c>
      <c r="D14" s="64"/>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D14"/>
  <sheetViews>
    <sheetView workbookViewId="0">
      <selection activeCell="C21" sqref="C21"/>
    </sheetView>
  </sheetViews>
  <sheetFormatPr defaultColWidth="10.28515625" defaultRowHeight="15" x14ac:dyDescent="0.25"/>
  <cols>
    <col min="1" max="1" width="14" bestFit="1" customWidth="1"/>
    <col min="2" max="2" width="13.85546875" bestFit="1" customWidth="1"/>
    <col min="3" max="3" width="16" bestFit="1" customWidth="1"/>
    <col min="4" max="4" width="13.85546875" bestFit="1" customWidth="1"/>
  </cols>
  <sheetData>
    <row r="1" spans="1:4" ht="60" x14ac:dyDescent="0.25">
      <c r="A1" s="155" t="s">
        <v>537</v>
      </c>
      <c r="B1" s="155"/>
      <c r="C1" s="155"/>
      <c r="D1" s="155"/>
    </row>
    <row r="3" spans="1:4" x14ac:dyDescent="0.25">
      <c r="A3" s="1" t="s">
        <v>538</v>
      </c>
      <c r="B3" s="1" t="s">
        <v>539</v>
      </c>
      <c r="C3" s="1" t="s">
        <v>540</v>
      </c>
      <c r="D3" s="1" t="s">
        <v>541</v>
      </c>
    </row>
    <row r="4" spans="1:4" x14ac:dyDescent="0.25">
      <c r="A4" s="3">
        <v>12550</v>
      </c>
      <c r="B4" s="71">
        <v>40587</v>
      </c>
      <c r="C4" s="71">
        <v>40609</v>
      </c>
      <c r="D4" s="64">
        <f t="shared" ref="D4:D12" si="0">C4-B4</f>
        <v>22</v>
      </c>
    </row>
    <row r="5" spans="1:4" x14ac:dyDescent="0.25">
      <c r="A5" s="3">
        <v>12551</v>
      </c>
      <c r="B5" s="71">
        <v>40587</v>
      </c>
      <c r="C5" s="71">
        <v>40610</v>
      </c>
      <c r="D5" s="64">
        <f t="shared" si="0"/>
        <v>23</v>
      </c>
    </row>
    <row r="6" spans="1:4" x14ac:dyDescent="0.25">
      <c r="A6" s="3">
        <v>12552</v>
      </c>
      <c r="B6" s="71">
        <v>40587</v>
      </c>
      <c r="C6" s="71">
        <v>40646</v>
      </c>
      <c r="D6" s="64">
        <f t="shared" si="0"/>
        <v>59</v>
      </c>
    </row>
    <row r="7" spans="1:4" x14ac:dyDescent="0.25">
      <c r="A7" s="3">
        <v>12553</v>
      </c>
      <c r="B7" s="71">
        <v>40588</v>
      </c>
      <c r="C7" s="71">
        <v>40652</v>
      </c>
      <c r="D7" s="64">
        <f t="shared" si="0"/>
        <v>64</v>
      </c>
    </row>
    <row r="8" spans="1:4" x14ac:dyDescent="0.25">
      <c r="A8" s="3">
        <v>12554</v>
      </c>
      <c r="B8" s="71">
        <v>40589</v>
      </c>
      <c r="C8" s="71">
        <v>40594</v>
      </c>
      <c r="D8" s="64">
        <f t="shared" si="0"/>
        <v>5</v>
      </c>
    </row>
    <row r="9" spans="1:4" x14ac:dyDescent="0.25">
      <c r="A9" s="3">
        <v>12555</v>
      </c>
      <c r="B9" s="71">
        <v>40589</v>
      </c>
      <c r="C9" s="71">
        <v>40621</v>
      </c>
      <c r="D9" s="64">
        <f t="shared" si="0"/>
        <v>32</v>
      </c>
    </row>
    <row r="10" spans="1:4" x14ac:dyDescent="0.25">
      <c r="A10" s="3">
        <v>12556</v>
      </c>
      <c r="B10" s="71">
        <v>40593</v>
      </c>
      <c r="C10" s="71">
        <v>40690</v>
      </c>
      <c r="D10" s="64">
        <f t="shared" si="0"/>
        <v>97</v>
      </c>
    </row>
    <row r="11" spans="1:4" x14ac:dyDescent="0.25">
      <c r="A11" s="3">
        <v>12557</v>
      </c>
      <c r="B11" s="71">
        <v>40594</v>
      </c>
      <c r="C11" s="71">
        <v>40622</v>
      </c>
      <c r="D11" s="64">
        <f t="shared" si="0"/>
        <v>28</v>
      </c>
    </row>
    <row r="12" spans="1:4" x14ac:dyDescent="0.25">
      <c r="A12" s="3">
        <v>12558</v>
      </c>
      <c r="B12" s="71">
        <v>40595</v>
      </c>
      <c r="C12" s="71">
        <v>40604</v>
      </c>
      <c r="D12" s="64">
        <f t="shared" si="0"/>
        <v>9</v>
      </c>
    </row>
    <row r="14" spans="1:4" x14ac:dyDescent="0.25">
      <c r="C14" s="1" t="s">
        <v>542</v>
      </c>
      <c r="D14" s="64">
        <f>AVERAGE(D4:D12)</f>
        <v>37.666666666666664</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00FF"/>
  </sheetPr>
  <dimension ref="A1:D9"/>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s>
  <sheetData>
    <row r="1" spans="1:4" ht="30" x14ac:dyDescent="0.25">
      <c r="A1" s="155" t="s">
        <v>543</v>
      </c>
      <c r="B1" s="155"/>
      <c r="C1" s="155"/>
      <c r="D1" s="155"/>
    </row>
    <row r="3" spans="1:4" x14ac:dyDescent="0.25">
      <c r="A3" s="78" t="s">
        <v>199</v>
      </c>
      <c r="B3" s="78" t="s">
        <v>200</v>
      </c>
      <c r="C3" s="78" t="s">
        <v>201</v>
      </c>
      <c r="D3" s="78" t="s">
        <v>202</v>
      </c>
    </row>
    <row r="4" spans="1:4" x14ac:dyDescent="0.25">
      <c r="A4" s="3">
        <v>10</v>
      </c>
      <c r="B4" s="3">
        <v>3</v>
      </c>
      <c r="C4" s="74">
        <v>5</v>
      </c>
      <c r="D4" s="180"/>
    </row>
    <row r="5" spans="1:4" x14ac:dyDescent="0.25">
      <c r="A5" s="3">
        <v>100</v>
      </c>
      <c r="B5" s="3">
        <v>37</v>
      </c>
      <c r="C5" s="74">
        <v>15</v>
      </c>
      <c r="D5" s="180"/>
    </row>
    <row r="6" spans="1:4" x14ac:dyDescent="0.25">
      <c r="A6" s="3">
        <v>250</v>
      </c>
      <c r="B6" s="3">
        <v>241</v>
      </c>
      <c r="C6" s="74">
        <v>22</v>
      </c>
      <c r="D6" s="180"/>
    </row>
    <row r="7" spans="1:4" x14ac:dyDescent="0.25">
      <c r="A7" s="3">
        <v>45</v>
      </c>
      <c r="B7" s="3">
        <v>41</v>
      </c>
      <c r="C7" s="74">
        <v>16</v>
      </c>
      <c r="D7" s="180"/>
    </row>
    <row r="8" spans="1:4" x14ac:dyDescent="0.25">
      <c r="A8" s="3">
        <v>69</v>
      </c>
      <c r="B8" s="3">
        <v>43</v>
      </c>
      <c r="C8" s="74">
        <v>50</v>
      </c>
      <c r="D8" s="180"/>
    </row>
    <row r="9" spans="1:4" x14ac:dyDescent="0.25">
      <c r="A9" s="3">
        <v>10</v>
      </c>
      <c r="B9" s="3">
        <v>10</v>
      </c>
      <c r="C9" s="74">
        <v>5</v>
      </c>
      <c r="D9" s="180"/>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25"/>
  <sheetViews>
    <sheetView workbookViewId="0">
      <selection activeCell="C21" sqref="C21"/>
    </sheetView>
  </sheetViews>
  <sheetFormatPr defaultRowHeight="15" x14ac:dyDescent="0.25"/>
  <cols>
    <col min="1" max="4" width="10.42578125" customWidth="1"/>
    <col min="5" max="7" width="8.42578125" customWidth="1"/>
    <col min="8" max="8" width="16.140625" bestFit="1" customWidth="1"/>
    <col min="9" max="9" width="6.85546875" customWidth="1"/>
    <col min="10" max="10" width="9.85546875" bestFit="1" customWidth="1"/>
    <col min="11" max="11" width="33.140625" bestFit="1" customWidth="1"/>
    <col min="12" max="12" width="7.140625" customWidth="1"/>
    <col min="13" max="13" width="2.28515625" customWidth="1"/>
    <col min="18" max="18" width="5.5703125" customWidth="1"/>
    <col min="19" max="19" width="16.140625" bestFit="1" customWidth="1"/>
    <col min="20" max="24" width="16.140625" customWidth="1"/>
  </cols>
  <sheetData>
    <row r="1" spans="1:22" x14ac:dyDescent="0.25">
      <c r="A1" s="78" t="s">
        <v>199</v>
      </c>
      <c r="B1" s="78" t="s">
        <v>200</v>
      </c>
      <c r="C1" s="78" t="s">
        <v>201</v>
      </c>
      <c r="D1" s="78" t="s">
        <v>202</v>
      </c>
      <c r="E1" s="5"/>
      <c r="F1" s="5"/>
      <c r="G1" s="5"/>
    </row>
    <row r="2" spans="1:22" x14ac:dyDescent="0.25">
      <c r="A2" s="3">
        <v>10</v>
      </c>
      <c r="B2" s="3">
        <v>3</v>
      </c>
      <c r="C2" s="74">
        <v>5</v>
      </c>
      <c r="D2" s="79">
        <f>A2-B2*C2</f>
        <v>-5</v>
      </c>
    </row>
    <row r="3" spans="1:22" x14ac:dyDescent="0.25">
      <c r="E3" s="5"/>
      <c r="F3" s="5"/>
      <c r="G3" s="5"/>
    </row>
    <row r="4" spans="1:22" ht="19.5" x14ac:dyDescent="0.3">
      <c r="A4" s="90" t="s">
        <v>223</v>
      </c>
    </row>
    <row r="6" spans="1:22" ht="19.5" x14ac:dyDescent="0.3">
      <c r="A6" s="90" t="s">
        <v>224</v>
      </c>
      <c r="D6" s="66" t="s">
        <v>203</v>
      </c>
      <c r="E6" s="66" t="str">
        <f ca="1">IF(_xlfn.ISFORMULA(E7),_xlfn.FORMULATEXT(E7),"")</f>
        <v>=(8+2)*2</v>
      </c>
    </row>
    <row r="7" spans="1:22" ht="19.5" x14ac:dyDescent="0.3">
      <c r="A7" s="90" t="s">
        <v>225</v>
      </c>
      <c r="D7" s="64">
        <f>8+2*2</f>
        <v>12</v>
      </c>
      <c r="E7" s="64">
        <f>(8+2)*2</f>
        <v>20</v>
      </c>
    </row>
    <row r="8" spans="1:22" ht="49.5" customHeight="1" x14ac:dyDescent="0.25"/>
    <row r="16" spans="1:22" x14ac:dyDescent="0.25">
      <c r="T16" s="5"/>
      <c r="U16" s="5"/>
      <c r="V16" s="5"/>
    </row>
    <row r="18" spans="1:4" x14ac:dyDescent="0.25">
      <c r="A18" s="5" t="s">
        <v>229</v>
      </c>
    </row>
    <row r="19" spans="1:4" x14ac:dyDescent="0.25">
      <c r="A19" t="s">
        <v>230</v>
      </c>
    </row>
    <row r="20" spans="1:4" x14ac:dyDescent="0.25">
      <c r="A20" t="s">
        <v>690</v>
      </c>
    </row>
    <row r="22" spans="1:4" x14ac:dyDescent="0.25">
      <c r="A22" s="78" t="s">
        <v>199</v>
      </c>
      <c r="B22" s="78" t="s">
        <v>200</v>
      </c>
      <c r="C22" s="78" t="s">
        <v>201</v>
      </c>
      <c r="D22" s="78" t="s">
        <v>202</v>
      </c>
    </row>
    <row r="23" spans="1:4" x14ac:dyDescent="0.25">
      <c r="A23" s="3">
        <v>10</v>
      </c>
      <c r="B23" s="3">
        <v>3</v>
      </c>
      <c r="C23" s="74">
        <v>5</v>
      </c>
      <c r="D23" s="79">
        <f>A23-B23*C23</f>
        <v>-5</v>
      </c>
    </row>
    <row r="24" spans="1:4" x14ac:dyDescent="0.25">
      <c r="A24" s="78" t="s">
        <v>199</v>
      </c>
      <c r="B24" s="78" t="s">
        <v>200</v>
      </c>
      <c r="C24" s="78" t="s">
        <v>201</v>
      </c>
      <c r="D24" s="78" t="s">
        <v>202</v>
      </c>
    </row>
    <row r="25" spans="1:4" x14ac:dyDescent="0.25">
      <c r="A25" s="3">
        <v>10</v>
      </c>
      <c r="B25" s="3">
        <v>3</v>
      </c>
      <c r="C25" s="74">
        <v>5</v>
      </c>
      <c r="D25" s="79">
        <f>(A25-B25)*C25</f>
        <v>35</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0000"/>
  </sheetPr>
  <dimension ref="A1:D9"/>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s>
  <sheetData>
    <row r="1" spans="1:4" ht="30" x14ac:dyDescent="0.25">
      <c r="A1" s="155" t="s">
        <v>543</v>
      </c>
      <c r="B1" s="155"/>
      <c r="C1" s="155"/>
      <c r="D1" s="155"/>
    </row>
    <row r="3" spans="1:4" x14ac:dyDescent="0.25">
      <c r="A3" s="78" t="s">
        <v>199</v>
      </c>
      <c r="B3" s="78" t="s">
        <v>200</v>
      </c>
      <c r="C3" s="78" t="s">
        <v>201</v>
      </c>
      <c r="D3" s="78" t="s">
        <v>202</v>
      </c>
    </row>
    <row r="4" spans="1:4" x14ac:dyDescent="0.25">
      <c r="A4" s="3">
        <v>10</v>
      </c>
      <c r="B4" s="3">
        <v>3</v>
      </c>
      <c r="C4" s="74">
        <v>5</v>
      </c>
      <c r="D4" s="79">
        <f t="shared" ref="D4:D9" si="0">(A4-B4)*C4</f>
        <v>35</v>
      </c>
    </row>
    <row r="5" spans="1:4" x14ac:dyDescent="0.25">
      <c r="A5" s="3">
        <v>100</v>
      </c>
      <c r="B5" s="3">
        <v>37</v>
      </c>
      <c r="C5" s="74">
        <v>15</v>
      </c>
      <c r="D5" s="79">
        <f t="shared" si="0"/>
        <v>945</v>
      </c>
    </row>
    <row r="6" spans="1:4" x14ac:dyDescent="0.25">
      <c r="A6" s="3">
        <v>250</v>
      </c>
      <c r="B6" s="3">
        <v>241</v>
      </c>
      <c r="C6" s="74">
        <v>22</v>
      </c>
      <c r="D6" s="79">
        <f t="shared" si="0"/>
        <v>198</v>
      </c>
    </row>
    <row r="7" spans="1:4" x14ac:dyDescent="0.25">
      <c r="A7" s="3">
        <v>45</v>
      </c>
      <c r="B7" s="3">
        <v>41</v>
      </c>
      <c r="C7" s="74">
        <v>16</v>
      </c>
      <c r="D7" s="79">
        <f t="shared" si="0"/>
        <v>64</v>
      </c>
    </row>
    <row r="8" spans="1:4" x14ac:dyDescent="0.25">
      <c r="A8" s="3">
        <v>69</v>
      </c>
      <c r="B8" s="3">
        <v>43</v>
      </c>
      <c r="C8" s="74">
        <v>50</v>
      </c>
      <c r="D8" s="79">
        <f t="shared" si="0"/>
        <v>1300</v>
      </c>
    </row>
    <row r="9" spans="1:4" x14ac:dyDescent="0.25">
      <c r="A9" s="3">
        <v>10</v>
      </c>
      <c r="B9" s="3">
        <v>10</v>
      </c>
      <c r="C9" s="74">
        <v>5</v>
      </c>
      <c r="D9" s="79">
        <f t="shared" si="0"/>
        <v>0</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00FF"/>
  </sheetPr>
  <dimension ref="A1:E14"/>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 min="5" max="5" width="20.140625" customWidth="1"/>
  </cols>
  <sheetData>
    <row r="1" spans="1:5" ht="45" x14ac:dyDescent="0.25">
      <c r="A1" s="155" t="s">
        <v>544</v>
      </c>
      <c r="B1" s="155"/>
      <c r="C1" s="155"/>
      <c r="D1" s="155"/>
    </row>
    <row r="3" spans="1:5" ht="30" x14ac:dyDescent="0.25">
      <c r="A3" s="1" t="s">
        <v>136</v>
      </c>
      <c r="B3" s="1" t="s">
        <v>91</v>
      </c>
      <c r="C3" s="1" t="s">
        <v>89</v>
      </c>
      <c r="D3" s="1" t="s">
        <v>90</v>
      </c>
      <c r="E3" s="52" t="s">
        <v>545</v>
      </c>
    </row>
    <row r="4" spans="1:5" x14ac:dyDescent="0.25">
      <c r="A4" s="3" t="s">
        <v>477</v>
      </c>
      <c r="B4" s="91">
        <v>14</v>
      </c>
      <c r="C4" s="181">
        <v>0.45833333333333331</v>
      </c>
      <c r="D4" s="181">
        <v>0.875</v>
      </c>
      <c r="E4" s="180"/>
    </row>
    <row r="5" spans="1:5" x14ac:dyDescent="0.25">
      <c r="A5" s="3" t="s">
        <v>478</v>
      </c>
      <c r="B5" s="91">
        <v>25</v>
      </c>
      <c r="C5" s="181">
        <v>0.33333333333333331</v>
      </c>
      <c r="D5" s="181">
        <v>0.625</v>
      </c>
      <c r="E5" s="180"/>
    </row>
    <row r="6" spans="1:5" x14ac:dyDescent="0.25">
      <c r="A6" s="3" t="s">
        <v>479</v>
      </c>
      <c r="B6" s="91">
        <v>25</v>
      </c>
      <c r="C6" s="181">
        <v>0.33333333333333331</v>
      </c>
      <c r="D6" s="181">
        <v>0.625</v>
      </c>
      <c r="E6" s="180"/>
    </row>
    <row r="7" spans="1:5" x14ac:dyDescent="0.25">
      <c r="A7" s="3" t="s">
        <v>480</v>
      </c>
      <c r="B7" s="91">
        <v>15</v>
      </c>
      <c r="C7" s="181">
        <v>0.41666666666666669</v>
      </c>
      <c r="D7" s="181">
        <v>0.75</v>
      </c>
      <c r="E7" s="180"/>
    </row>
    <row r="8" spans="1:5" x14ac:dyDescent="0.25">
      <c r="A8" s="3" t="s">
        <v>546</v>
      </c>
      <c r="B8" s="91">
        <v>21</v>
      </c>
      <c r="C8" s="181">
        <v>0.41666666666666669</v>
      </c>
      <c r="D8" s="181">
        <v>0.83333333333333337</v>
      </c>
      <c r="E8" s="180"/>
    </row>
    <row r="9" spans="1:5" x14ac:dyDescent="0.25">
      <c r="A9" s="3" t="s">
        <v>547</v>
      </c>
      <c r="B9" s="91">
        <v>29</v>
      </c>
      <c r="C9" s="181">
        <v>0.41666666666666669</v>
      </c>
      <c r="D9" s="181">
        <v>0.70833333333333337</v>
      </c>
      <c r="E9" s="180"/>
    </row>
    <row r="10" spans="1:5" x14ac:dyDescent="0.25">
      <c r="A10" s="3" t="s">
        <v>548</v>
      </c>
      <c r="B10" s="91">
        <v>22</v>
      </c>
      <c r="C10" s="181">
        <v>0.33333333333333331</v>
      </c>
      <c r="D10" s="181">
        <v>0.66666666666666663</v>
      </c>
      <c r="E10" s="180"/>
    </row>
    <row r="11" spans="1:5" x14ac:dyDescent="0.25">
      <c r="A11" s="3" t="s">
        <v>549</v>
      </c>
      <c r="B11" s="91">
        <v>21</v>
      </c>
      <c r="C11" s="181">
        <v>0.41666666666666669</v>
      </c>
      <c r="D11" s="181">
        <v>0.75</v>
      </c>
      <c r="E11" s="180"/>
    </row>
    <row r="12" spans="1:5" x14ac:dyDescent="0.25">
      <c r="A12" s="3" t="s">
        <v>550</v>
      </c>
      <c r="B12" s="91">
        <v>19</v>
      </c>
      <c r="C12" s="181">
        <v>0.33333333333333331</v>
      </c>
      <c r="D12" s="181">
        <v>0.66666666666666663</v>
      </c>
      <c r="E12" s="180"/>
    </row>
    <row r="13" spans="1:5" x14ac:dyDescent="0.25">
      <c r="A13" s="3" t="s">
        <v>551</v>
      </c>
      <c r="B13" s="91">
        <v>16</v>
      </c>
      <c r="C13" s="181">
        <v>0.375</v>
      </c>
      <c r="D13" s="181">
        <v>0.75</v>
      </c>
      <c r="E13" s="180"/>
    </row>
    <row r="14" spans="1:5" x14ac:dyDescent="0.25">
      <c r="A14" s="3" t="s">
        <v>552</v>
      </c>
      <c r="B14" s="91">
        <v>21</v>
      </c>
      <c r="C14" s="181">
        <v>0.41666666666666669</v>
      </c>
      <c r="D14" s="181">
        <v>0.75</v>
      </c>
      <c r="E14" s="180"/>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0000"/>
  </sheetPr>
  <dimension ref="A1:E14"/>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 min="5" max="5" width="20.140625" customWidth="1"/>
  </cols>
  <sheetData>
    <row r="1" spans="1:5" ht="45" x14ac:dyDescent="0.25">
      <c r="A1" s="155" t="s">
        <v>544</v>
      </c>
      <c r="B1" s="155"/>
      <c r="C1" s="155"/>
      <c r="D1" s="155"/>
    </row>
    <row r="3" spans="1:5" ht="30" x14ac:dyDescent="0.25">
      <c r="A3" s="1" t="s">
        <v>136</v>
      </c>
      <c r="B3" s="1" t="s">
        <v>91</v>
      </c>
      <c r="C3" s="1" t="s">
        <v>89</v>
      </c>
      <c r="D3" s="1" t="s">
        <v>90</v>
      </c>
      <c r="E3" s="52" t="s">
        <v>545</v>
      </c>
    </row>
    <row r="4" spans="1:5" x14ac:dyDescent="0.25">
      <c r="A4" s="3" t="s">
        <v>477</v>
      </c>
      <c r="B4" s="91">
        <v>14</v>
      </c>
      <c r="C4" s="181">
        <v>0.45833333333333331</v>
      </c>
      <c r="D4" s="181">
        <v>0.875</v>
      </c>
      <c r="E4" s="53">
        <f t="shared" ref="E4:E14" si="0">B4*(D4-C4)*24</f>
        <v>140</v>
      </c>
    </row>
    <row r="5" spans="1:5" x14ac:dyDescent="0.25">
      <c r="A5" s="3" t="s">
        <v>478</v>
      </c>
      <c r="B5" s="91">
        <v>25</v>
      </c>
      <c r="C5" s="181">
        <v>0.33333333333333331</v>
      </c>
      <c r="D5" s="181">
        <v>0.625</v>
      </c>
      <c r="E5" s="53">
        <f t="shared" si="0"/>
        <v>175</v>
      </c>
    </row>
    <row r="6" spans="1:5" x14ac:dyDescent="0.25">
      <c r="A6" s="3" t="s">
        <v>479</v>
      </c>
      <c r="B6" s="91">
        <v>25</v>
      </c>
      <c r="C6" s="181">
        <v>0.33333333333333331</v>
      </c>
      <c r="D6" s="181">
        <v>0.625</v>
      </c>
      <c r="E6" s="53">
        <f t="shared" si="0"/>
        <v>175</v>
      </c>
    </row>
    <row r="7" spans="1:5" x14ac:dyDescent="0.25">
      <c r="A7" s="3" t="s">
        <v>480</v>
      </c>
      <c r="B7" s="91">
        <v>15</v>
      </c>
      <c r="C7" s="181">
        <v>0.41666666666666669</v>
      </c>
      <c r="D7" s="181">
        <v>0.75</v>
      </c>
      <c r="E7" s="53">
        <f t="shared" si="0"/>
        <v>120</v>
      </c>
    </row>
    <row r="8" spans="1:5" x14ac:dyDescent="0.25">
      <c r="A8" s="3" t="s">
        <v>546</v>
      </c>
      <c r="B8" s="91">
        <v>21</v>
      </c>
      <c r="C8" s="181">
        <v>0.41666666666666669</v>
      </c>
      <c r="D8" s="181">
        <v>0.83333333333333337</v>
      </c>
      <c r="E8" s="53">
        <f t="shared" si="0"/>
        <v>210</v>
      </c>
    </row>
    <row r="9" spans="1:5" x14ac:dyDescent="0.25">
      <c r="A9" s="3" t="s">
        <v>547</v>
      </c>
      <c r="B9" s="91">
        <v>29</v>
      </c>
      <c r="C9" s="181">
        <v>0.41666666666666669</v>
      </c>
      <c r="D9" s="181">
        <v>0.70833333333333337</v>
      </c>
      <c r="E9" s="53">
        <f t="shared" si="0"/>
        <v>203</v>
      </c>
    </row>
    <row r="10" spans="1:5" x14ac:dyDescent="0.25">
      <c r="A10" s="3" t="s">
        <v>548</v>
      </c>
      <c r="B10" s="91">
        <v>22</v>
      </c>
      <c r="C10" s="181">
        <v>0.33333333333333331</v>
      </c>
      <c r="D10" s="181">
        <v>0.66666666666666663</v>
      </c>
      <c r="E10" s="53">
        <f t="shared" si="0"/>
        <v>176</v>
      </c>
    </row>
    <row r="11" spans="1:5" x14ac:dyDescent="0.25">
      <c r="A11" s="3" t="s">
        <v>549</v>
      </c>
      <c r="B11" s="91">
        <v>21</v>
      </c>
      <c r="C11" s="181">
        <v>0.41666666666666669</v>
      </c>
      <c r="D11" s="181">
        <v>0.75</v>
      </c>
      <c r="E11" s="53">
        <f t="shared" si="0"/>
        <v>168</v>
      </c>
    </row>
    <row r="12" spans="1:5" x14ac:dyDescent="0.25">
      <c r="A12" s="3" t="s">
        <v>550</v>
      </c>
      <c r="B12" s="91">
        <v>19</v>
      </c>
      <c r="C12" s="181">
        <v>0.33333333333333331</v>
      </c>
      <c r="D12" s="181">
        <v>0.66666666666666663</v>
      </c>
      <c r="E12" s="53">
        <f t="shared" si="0"/>
        <v>152</v>
      </c>
    </row>
    <row r="13" spans="1:5" x14ac:dyDescent="0.25">
      <c r="A13" s="3" t="s">
        <v>551</v>
      </c>
      <c r="B13" s="91">
        <v>16</v>
      </c>
      <c r="C13" s="181">
        <v>0.375</v>
      </c>
      <c r="D13" s="181">
        <v>0.75</v>
      </c>
      <c r="E13" s="53">
        <f t="shared" si="0"/>
        <v>144</v>
      </c>
    </row>
    <row r="14" spans="1:5" x14ac:dyDescent="0.25">
      <c r="A14" s="3" t="s">
        <v>552</v>
      </c>
      <c r="B14" s="91">
        <v>21</v>
      </c>
      <c r="C14" s="181">
        <v>0.41666666666666669</v>
      </c>
      <c r="D14" s="181">
        <v>0.75</v>
      </c>
      <c r="E14" s="53">
        <f t="shared" si="0"/>
        <v>168</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1"/>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s>
  <sheetData>
    <row r="1" spans="1:4" ht="60" x14ac:dyDescent="0.25">
      <c r="A1" s="155" t="s">
        <v>553</v>
      </c>
      <c r="B1" s="155"/>
      <c r="C1" s="155"/>
      <c r="D1" s="155"/>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8"/>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s>
  <sheetData>
    <row r="1" spans="1:4" ht="60" x14ac:dyDescent="0.25">
      <c r="A1" s="155" t="s">
        <v>553</v>
      </c>
      <c r="B1" s="155"/>
      <c r="C1" s="155"/>
      <c r="D1" s="155"/>
    </row>
    <row r="3" spans="1:4" x14ac:dyDescent="0.25">
      <c r="A3" s="1" t="s">
        <v>89</v>
      </c>
      <c r="B3" s="54">
        <v>0.3125</v>
      </c>
    </row>
    <row r="4" spans="1:4" x14ac:dyDescent="0.25">
      <c r="A4" s="1" t="s">
        <v>90</v>
      </c>
      <c r="B4" s="54">
        <v>0.47916666666666669</v>
      </c>
    </row>
    <row r="5" spans="1:4" x14ac:dyDescent="0.25">
      <c r="A5" s="1" t="s">
        <v>89</v>
      </c>
      <c r="B5" s="54">
        <v>0.58333333333333337</v>
      </c>
    </row>
    <row r="6" spans="1:4" x14ac:dyDescent="0.25">
      <c r="A6" s="1" t="s">
        <v>90</v>
      </c>
      <c r="B6" s="54">
        <v>0.72916666666666663</v>
      </c>
    </row>
    <row r="7" spans="1:4" x14ac:dyDescent="0.25">
      <c r="A7" s="1" t="s">
        <v>536</v>
      </c>
      <c r="B7" s="91">
        <v>27</v>
      </c>
    </row>
    <row r="8" spans="1:4" x14ac:dyDescent="0.25">
      <c r="A8" s="1" t="s">
        <v>92</v>
      </c>
      <c r="B8" s="53">
        <f>SUM(B4-B3,B6-B5)*24*B7</f>
        <v>202.49999999999994</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15"/>
  <sheetViews>
    <sheetView workbookViewId="0">
      <selection activeCell="C21" sqref="C21"/>
    </sheetView>
  </sheetViews>
  <sheetFormatPr defaultColWidth="10.28515625" defaultRowHeight="15" x14ac:dyDescent="0.25"/>
  <cols>
    <col min="2" max="2" width="15.140625" bestFit="1" customWidth="1"/>
    <col min="3" max="3" width="13.85546875" bestFit="1" customWidth="1"/>
    <col min="4" max="4" width="12.28515625" bestFit="1" customWidth="1"/>
    <col min="5" max="5" width="13.85546875" bestFit="1" customWidth="1"/>
  </cols>
  <sheetData>
    <row r="1" spans="1:8" ht="105" x14ac:dyDescent="0.25">
      <c r="B1" s="155" t="s">
        <v>554</v>
      </c>
      <c r="C1" s="155"/>
      <c r="D1" s="155"/>
      <c r="E1" s="155"/>
    </row>
    <row r="3" spans="1:8" x14ac:dyDescent="0.25">
      <c r="B3" s="96"/>
      <c r="C3" s="97" t="s">
        <v>555</v>
      </c>
      <c r="D3" s="97"/>
      <c r="E3" s="97"/>
      <c r="F3" s="96"/>
      <c r="G3" s="96"/>
      <c r="H3" s="96"/>
    </row>
    <row r="4" spans="1:8" x14ac:dyDescent="0.25">
      <c r="A4" s="98" t="s">
        <v>556</v>
      </c>
      <c r="B4" s="98" t="s">
        <v>262</v>
      </c>
      <c r="C4" s="99">
        <f>C14</f>
        <v>0.45</v>
      </c>
      <c r="D4" s="99">
        <f>C4+$C15</f>
        <v>0.5</v>
      </c>
      <c r="E4" s="99">
        <f>D4+$C15</f>
        <v>0.55000000000000004</v>
      </c>
      <c r="F4" s="100" t="s">
        <v>263</v>
      </c>
      <c r="G4" s="100" t="s">
        <v>263</v>
      </c>
      <c r="H4" s="100" t="s">
        <v>263</v>
      </c>
    </row>
    <row r="5" spans="1:8" x14ac:dyDescent="0.25">
      <c r="A5" s="91">
        <v>598</v>
      </c>
      <c r="B5" s="101" t="s">
        <v>266</v>
      </c>
      <c r="C5" s="102">
        <f>A5/(1-C4)</f>
        <v>1087.2727272727273</v>
      </c>
      <c r="D5" s="102"/>
      <c r="E5" s="102"/>
      <c r="F5" s="182"/>
      <c r="G5" s="182"/>
      <c r="H5" s="182"/>
    </row>
    <row r="6" spans="1:8" x14ac:dyDescent="0.25">
      <c r="A6" s="91">
        <v>85</v>
      </c>
      <c r="B6" s="101" t="s">
        <v>267</v>
      </c>
      <c r="C6" s="103"/>
      <c r="D6" s="103"/>
      <c r="E6" s="103"/>
      <c r="F6" s="182"/>
      <c r="G6" s="182"/>
      <c r="H6" s="182"/>
    </row>
    <row r="7" spans="1:8" x14ac:dyDescent="0.25">
      <c r="A7" s="91">
        <v>152</v>
      </c>
      <c r="B7" s="101" t="s">
        <v>268</v>
      </c>
      <c r="C7" s="103"/>
      <c r="D7" s="103"/>
      <c r="E7" s="103"/>
      <c r="F7" s="182"/>
      <c r="G7" s="182"/>
      <c r="H7" s="182"/>
    </row>
    <row r="8" spans="1:8" x14ac:dyDescent="0.25">
      <c r="A8" s="91">
        <v>99</v>
      </c>
      <c r="B8" s="101" t="s">
        <v>269</v>
      </c>
      <c r="C8" s="103"/>
      <c r="D8" s="103"/>
      <c r="E8" s="103"/>
      <c r="F8" s="182"/>
      <c r="G8" s="182"/>
      <c r="H8" s="182"/>
    </row>
    <row r="9" spans="1:8" x14ac:dyDescent="0.25">
      <c r="A9" s="91">
        <v>575</v>
      </c>
      <c r="B9" s="101" t="s">
        <v>270</v>
      </c>
      <c r="C9" s="103"/>
      <c r="D9" s="103"/>
      <c r="E9" s="103"/>
      <c r="F9" s="182"/>
      <c r="G9" s="182"/>
      <c r="H9" s="182"/>
    </row>
    <row r="10" spans="1:8" x14ac:dyDescent="0.25">
      <c r="A10" s="91">
        <v>25</v>
      </c>
      <c r="B10" s="101" t="s">
        <v>271</v>
      </c>
      <c r="C10" s="103"/>
      <c r="D10" s="103"/>
      <c r="E10" s="103"/>
      <c r="F10" s="182"/>
      <c r="G10" s="182"/>
      <c r="H10" s="182"/>
    </row>
    <row r="11" spans="1:8" x14ac:dyDescent="0.25">
      <c r="B11" s="96"/>
      <c r="C11" s="96"/>
      <c r="D11" s="96"/>
    </row>
    <row r="12" spans="1:8" x14ac:dyDescent="0.25">
      <c r="B12" s="104" t="s">
        <v>264</v>
      </c>
      <c r="C12" s="104"/>
      <c r="D12" s="105"/>
    </row>
    <row r="13" spans="1:8" x14ac:dyDescent="0.25">
      <c r="B13" s="101" t="s">
        <v>265</v>
      </c>
      <c r="C13" s="3">
        <v>1.05</v>
      </c>
      <c r="D13" s="96"/>
    </row>
    <row r="14" spans="1:8" ht="39" x14ac:dyDescent="0.25">
      <c r="B14" s="106" t="str">
        <f>C3&amp;" Starting Point"</f>
        <v>Retail Selling Price by Margin Starting Point</v>
      </c>
      <c r="C14" s="183">
        <v>0.45</v>
      </c>
      <c r="D14" s="107"/>
    </row>
    <row r="15" spans="1:8" x14ac:dyDescent="0.25">
      <c r="B15" s="101" t="s">
        <v>272</v>
      </c>
      <c r="C15" s="108">
        <v>0.05</v>
      </c>
      <c r="D15" s="96"/>
      <c r="E15" s="96"/>
      <c r="F15" s="96"/>
      <c r="G15" s="96"/>
      <c r="H15" s="96"/>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5"/>
  <sheetViews>
    <sheetView workbookViewId="0">
      <selection activeCell="C21" sqref="C21"/>
    </sheetView>
  </sheetViews>
  <sheetFormatPr defaultColWidth="10.28515625" defaultRowHeight="15" x14ac:dyDescent="0.25"/>
  <cols>
    <col min="2" max="2" width="15.140625" bestFit="1" customWidth="1"/>
    <col min="3" max="3" width="13.85546875" bestFit="1" customWidth="1"/>
    <col min="4" max="4" width="12.28515625" bestFit="1" customWidth="1"/>
    <col min="5" max="5" width="13.85546875" bestFit="1" customWidth="1"/>
  </cols>
  <sheetData>
    <row r="1" spans="1:8" ht="105" x14ac:dyDescent="0.25">
      <c r="B1" s="155" t="s">
        <v>554</v>
      </c>
      <c r="C1" s="155"/>
      <c r="D1" s="155"/>
      <c r="E1" s="155"/>
    </row>
    <row r="3" spans="1:8" x14ac:dyDescent="0.25">
      <c r="B3" s="96"/>
      <c r="C3" s="97" t="s">
        <v>555</v>
      </c>
      <c r="D3" s="97"/>
      <c r="E3" s="97"/>
      <c r="F3" s="96"/>
      <c r="G3" s="96"/>
      <c r="H3" s="96"/>
    </row>
    <row r="4" spans="1:8" x14ac:dyDescent="0.25">
      <c r="A4" s="98" t="s">
        <v>556</v>
      </c>
      <c r="B4" s="98" t="s">
        <v>262</v>
      </c>
      <c r="C4" s="99">
        <f>C14</f>
        <v>0.45</v>
      </c>
      <c r="D4" s="99">
        <f>C4+$C15</f>
        <v>0.5</v>
      </c>
      <c r="E4" s="99">
        <f>D4+$C15</f>
        <v>0.55000000000000004</v>
      </c>
      <c r="F4" s="100" t="s">
        <v>263</v>
      </c>
      <c r="G4" s="100" t="s">
        <v>263</v>
      </c>
      <c r="H4" s="100" t="s">
        <v>263</v>
      </c>
    </row>
    <row r="5" spans="1:8" x14ac:dyDescent="0.25">
      <c r="A5" s="91">
        <v>598</v>
      </c>
      <c r="B5" s="101" t="s">
        <v>266</v>
      </c>
      <c r="C5" s="102">
        <f t="shared" ref="C5:E10" si="0">$A5/(1-C$4)</f>
        <v>1087.2727272727273</v>
      </c>
      <c r="D5" s="102">
        <f t="shared" si="0"/>
        <v>1196</v>
      </c>
      <c r="E5" s="102">
        <f t="shared" si="0"/>
        <v>1328.8888888888889</v>
      </c>
      <c r="F5" s="182">
        <f>C5*$C$13</f>
        <v>1196</v>
      </c>
      <c r="G5" s="182">
        <f t="shared" ref="G5:H10" si="1">D5*$C$13</f>
        <v>1315.6000000000001</v>
      </c>
      <c r="H5" s="182">
        <f t="shared" si="1"/>
        <v>1461.7777777777778</v>
      </c>
    </row>
    <row r="6" spans="1:8" x14ac:dyDescent="0.25">
      <c r="A6" s="91">
        <v>85</v>
      </c>
      <c r="B6" s="101" t="s">
        <v>267</v>
      </c>
      <c r="C6" s="103">
        <f t="shared" si="0"/>
        <v>154.54545454545453</v>
      </c>
      <c r="D6" s="103">
        <f t="shared" si="0"/>
        <v>170</v>
      </c>
      <c r="E6" s="103">
        <f t="shared" si="0"/>
        <v>188.88888888888891</v>
      </c>
      <c r="F6" s="182">
        <f t="shared" ref="F6:F10" si="2">C6*$C$13</f>
        <v>170</v>
      </c>
      <c r="G6" s="182">
        <f t="shared" si="1"/>
        <v>187.00000000000003</v>
      </c>
      <c r="H6" s="182">
        <f t="shared" si="1"/>
        <v>207.77777777777783</v>
      </c>
    </row>
    <row r="7" spans="1:8" x14ac:dyDescent="0.25">
      <c r="A7" s="91">
        <v>152</v>
      </c>
      <c r="B7" s="101" t="s">
        <v>268</v>
      </c>
      <c r="C7" s="103">
        <f t="shared" si="0"/>
        <v>276.36363636363632</v>
      </c>
      <c r="D7" s="103">
        <f t="shared" si="0"/>
        <v>304</v>
      </c>
      <c r="E7" s="103">
        <f t="shared" si="0"/>
        <v>337.77777777777783</v>
      </c>
      <c r="F7" s="182">
        <f t="shared" si="2"/>
        <v>304</v>
      </c>
      <c r="G7" s="182">
        <f t="shared" si="1"/>
        <v>334.40000000000003</v>
      </c>
      <c r="H7" s="182">
        <f t="shared" si="1"/>
        <v>371.55555555555566</v>
      </c>
    </row>
    <row r="8" spans="1:8" x14ac:dyDescent="0.25">
      <c r="A8" s="91">
        <v>99</v>
      </c>
      <c r="B8" s="101" t="s">
        <v>269</v>
      </c>
      <c r="C8" s="103">
        <f t="shared" si="0"/>
        <v>179.99999999999997</v>
      </c>
      <c r="D8" s="103">
        <f t="shared" si="0"/>
        <v>198</v>
      </c>
      <c r="E8" s="103">
        <f t="shared" si="0"/>
        <v>220.00000000000003</v>
      </c>
      <c r="F8" s="182">
        <f t="shared" si="2"/>
        <v>197.99999999999997</v>
      </c>
      <c r="G8" s="182">
        <f t="shared" si="1"/>
        <v>217.8</v>
      </c>
      <c r="H8" s="182">
        <f t="shared" si="1"/>
        <v>242.00000000000006</v>
      </c>
    </row>
    <row r="9" spans="1:8" x14ac:dyDescent="0.25">
      <c r="A9" s="91">
        <v>575</v>
      </c>
      <c r="B9" s="101" t="s">
        <v>270</v>
      </c>
      <c r="C9" s="103">
        <f t="shared" si="0"/>
        <v>1045.4545454545453</v>
      </c>
      <c r="D9" s="103">
        <f t="shared" si="0"/>
        <v>1150</v>
      </c>
      <c r="E9" s="103">
        <f t="shared" si="0"/>
        <v>1277.7777777777778</v>
      </c>
      <c r="F9" s="182">
        <f t="shared" si="2"/>
        <v>1150</v>
      </c>
      <c r="G9" s="182">
        <f t="shared" si="1"/>
        <v>1265</v>
      </c>
      <c r="H9" s="182">
        <f t="shared" si="1"/>
        <v>1405.5555555555557</v>
      </c>
    </row>
    <row r="10" spans="1:8" x14ac:dyDescent="0.25">
      <c r="A10" s="91">
        <v>25</v>
      </c>
      <c r="B10" s="101" t="s">
        <v>271</v>
      </c>
      <c r="C10" s="103">
        <f t="shared" si="0"/>
        <v>45.454545454545453</v>
      </c>
      <c r="D10" s="103">
        <f t="shared" si="0"/>
        <v>50</v>
      </c>
      <c r="E10" s="103">
        <f t="shared" si="0"/>
        <v>55.555555555555564</v>
      </c>
      <c r="F10" s="182">
        <f t="shared" si="2"/>
        <v>50</v>
      </c>
      <c r="G10" s="182">
        <f t="shared" si="1"/>
        <v>55.000000000000007</v>
      </c>
      <c r="H10" s="182">
        <f t="shared" si="1"/>
        <v>61.111111111111128</v>
      </c>
    </row>
    <row r="11" spans="1:8" x14ac:dyDescent="0.25">
      <c r="B11" s="96"/>
      <c r="C11" s="96"/>
      <c r="D11" s="96"/>
    </row>
    <row r="12" spans="1:8" x14ac:dyDescent="0.25">
      <c r="B12" s="104" t="s">
        <v>264</v>
      </c>
      <c r="C12" s="104"/>
      <c r="D12" s="105"/>
    </row>
    <row r="13" spans="1:8" x14ac:dyDescent="0.25">
      <c r="B13" s="101" t="s">
        <v>265</v>
      </c>
      <c r="C13" s="3">
        <v>1.1000000000000001</v>
      </c>
      <c r="D13" s="96"/>
    </row>
    <row r="14" spans="1:8" ht="39" x14ac:dyDescent="0.25">
      <c r="B14" s="106" t="str">
        <f>C3&amp;" Starting Point"</f>
        <v>Retail Selling Price by Margin Starting Point</v>
      </c>
      <c r="C14" s="183">
        <v>0.45</v>
      </c>
      <c r="D14" s="107"/>
    </row>
    <row r="15" spans="1:8" x14ac:dyDescent="0.25">
      <c r="B15" s="101" t="s">
        <v>272</v>
      </c>
      <c r="C15" s="108">
        <v>0.05</v>
      </c>
      <c r="D15" s="96"/>
      <c r="E15" s="96"/>
      <c r="F15" s="96"/>
      <c r="G15" s="96"/>
      <c r="H15" s="96"/>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8"/>
  <sheetViews>
    <sheetView workbookViewId="0">
      <selection activeCell="C21" sqref="C21"/>
    </sheetView>
  </sheetViews>
  <sheetFormatPr defaultColWidth="10.28515625" defaultRowHeight="15" x14ac:dyDescent="0.25"/>
  <cols>
    <col min="1" max="1" width="19.42578125" customWidth="1"/>
    <col min="2" max="2" width="14" bestFit="1" customWidth="1"/>
    <col min="3" max="3" width="12.28515625" bestFit="1" customWidth="1"/>
    <col min="4" max="4" width="14" bestFit="1" customWidth="1"/>
    <col min="5" max="11" width="11" bestFit="1" customWidth="1"/>
  </cols>
  <sheetData>
    <row r="1" spans="1:11" ht="45" x14ac:dyDescent="0.25">
      <c r="A1" s="155" t="s">
        <v>557</v>
      </c>
      <c r="B1" s="155"/>
      <c r="C1" s="155"/>
      <c r="D1" s="155"/>
    </row>
    <row r="3" spans="1:11" x14ac:dyDescent="0.25">
      <c r="A3" s="109" t="s">
        <v>274</v>
      </c>
    </row>
    <row r="4" spans="1:11" x14ac:dyDescent="0.25">
      <c r="A4" s="3">
        <v>0.05</v>
      </c>
    </row>
    <row r="6" spans="1:11" x14ac:dyDescent="0.25">
      <c r="A6" s="110" t="s">
        <v>104</v>
      </c>
      <c r="B6" s="3" t="s">
        <v>275</v>
      </c>
      <c r="C6" s="3" t="s">
        <v>276</v>
      </c>
      <c r="D6" s="3" t="s">
        <v>277</v>
      </c>
      <c r="E6" s="3" t="s">
        <v>278</v>
      </c>
      <c r="F6" s="3" t="s">
        <v>279</v>
      </c>
      <c r="G6" s="3" t="s">
        <v>280</v>
      </c>
      <c r="H6" s="3" t="s">
        <v>281</v>
      </c>
      <c r="I6" s="3" t="s">
        <v>282</v>
      </c>
      <c r="J6" s="3" t="s">
        <v>283</v>
      </c>
      <c r="K6" s="3" t="s">
        <v>284</v>
      </c>
    </row>
    <row r="7" spans="1:11" x14ac:dyDescent="0.25">
      <c r="A7" s="110" t="s">
        <v>105</v>
      </c>
      <c r="B7" s="91">
        <v>11682</v>
      </c>
      <c r="C7" s="91">
        <v>20880</v>
      </c>
      <c r="D7" s="91">
        <v>12176</v>
      </c>
      <c r="E7" s="91">
        <v>12695</v>
      </c>
      <c r="F7" s="91">
        <v>19679</v>
      </c>
      <c r="G7" s="91">
        <v>16243</v>
      </c>
      <c r="H7" s="91">
        <v>11976</v>
      </c>
      <c r="I7" s="91">
        <v>17839</v>
      </c>
      <c r="J7" s="91">
        <v>24591</v>
      </c>
      <c r="K7" s="91">
        <v>24545</v>
      </c>
    </row>
    <row r="8" spans="1:11" x14ac:dyDescent="0.25">
      <c r="A8" s="111" t="s">
        <v>688</v>
      </c>
      <c r="B8" s="53"/>
      <c r="C8" s="53"/>
      <c r="D8" s="53"/>
      <c r="E8" s="53"/>
      <c r="F8" s="53"/>
      <c r="G8" s="53"/>
      <c r="H8" s="53"/>
      <c r="I8" s="53"/>
      <c r="J8" s="53"/>
      <c r="K8" s="53"/>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
  <sheetViews>
    <sheetView workbookViewId="0">
      <selection activeCell="C21" sqref="C21"/>
    </sheetView>
  </sheetViews>
  <sheetFormatPr defaultColWidth="10.28515625" defaultRowHeight="15" x14ac:dyDescent="0.25"/>
  <cols>
    <col min="1" max="1" width="19.42578125" customWidth="1"/>
    <col min="2" max="2" width="14" bestFit="1" customWidth="1"/>
    <col min="3" max="3" width="12.28515625" bestFit="1" customWidth="1"/>
    <col min="4" max="4" width="14" bestFit="1" customWidth="1"/>
    <col min="5" max="11" width="11" bestFit="1" customWidth="1"/>
  </cols>
  <sheetData>
    <row r="1" spans="1:11" ht="45" x14ac:dyDescent="0.25">
      <c r="A1" s="155" t="s">
        <v>557</v>
      </c>
      <c r="B1" s="155"/>
      <c r="C1" s="155"/>
      <c r="D1" s="155"/>
    </row>
    <row r="3" spans="1:11" x14ac:dyDescent="0.25">
      <c r="A3" s="109" t="s">
        <v>274</v>
      </c>
    </row>
    <row r="4" spans="1:11" x14ac:dyDescent="0.25">
      <c r="A4" s="3">
        <v>0.05</v>
      </c>
    </row>
    <row r="6" spans="1:11" x14ac:dyDescent="0.25">
      <c r="A6" s="110" t="s">
        <v>104</v>
      </c>
      <c r="B6" s="3" t="s">
        <v>275</v>
      </c>
      <c r="C6" s="3" t="s">
        <v>276</v>
      </c>
      <c r="D6" s="3" t="s">
        <v>277</v>
      </c>
      <c r="E6" s="3" t="s">
        <v>278</v>
      </c>
      <c r="F6" s="3" t="s">
        <v>279</v>
      </c>
      <c r="G6" s="3" t="s">
        <v>280</v>
      </c>
      <c r="H6" s="3" t="s">
        <v>281</v>
      </c>
      <c r="I6" s="3" t="s">
        <v>282</v>
      </c>
      <c r="J6" s="3" t="s">
        <v>283</v>
      </c>
      <c r="K6" s="3" t="s">
        <v>284</v>
      </c>
    </row>
    <row r="7" spans="1:11" x14ac:dyDescent="0.25">
      <c r="A7" s="110" t="s">
        <v>105</v>
      </c>
      <c r="B7" s="91">
        <v>11682</v>
      </c>
      <c r="C7" s="91">
        <v>20880</v>
      </c>
      <c r="D7" s="91">
        <v>12176</v>
      </c>
      <c r="E7" s="91">
        <v>12695</v>
      </c>
      <c r="F7" s="91">
        <v>19679</v>
      </c>
      <c r="G7" s="91">
        <v>16243</v>
      </c>
      <c r="H7" s="91">
        <v>11976</v>
      </c>
      <c r="I7" s="91">
        <v>17839</v>
      </c>
      <c r="J7" s="91">
        <v>24591</v>
      </c>
      <c r="K7" s="91">
        <v>24545</v>
      </c>
    </row>
    <row r="8" spans="1:11" x14ac:dyDescent="0.25">
      <c r="A8" s="111" t="s">
        <v>688</v>
      </c>
      <c r="B8" s="53">
        <f t="shared" ref="B8:K8" si="0">B7*$A4</f>
        <v>584.1</v>
      </c>
      <c r="C8" s="53">
        <f t="shared" si="0"/>
        <v>1044</v>
      </c>
      <c r="D8" s="53">
        <f t="shared" si="0"/>
        <v>608.80000000000007</v>
      </c>
      <c r="E8" s="53">
        <f t="shared" si="0"/>
        <v>634.75</v>
      </c>
      <c r="F8" s="53">
        <f t="shared" si="0"/>
        <v>983.95</v>
      </c>
      <c r="G8" s="53">
        <f t="shared" si="0"/>
        <v>812.15000000000009</v>
      </c>
      <c r="H8" s="53">
        <f t="shared" si="0"/>
        <v>598.80000000000007</v>
      </c>
      <c r="I8" s="53">
        <f t="shared" si="0"/>
        <v>891.95</v>
      </c>
      <c r="J8" s="53">
        <f t="shared" si="0"/>
        <v>1229.5500000000002</v>
      </c>
      <c r="K8" s="53">
        <f t="shared" si="0"/>
        <v>1227.25</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117"/>
  <sheetViews>
    <sheetView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s>
  <sheetData>
    <row r="1" spans="1:8" ht="90" x14ac:dyDescent="0.25">
      <c r="A1" s="155" t="s">
        <v>558</v>
      </c>
      <c r="B1" s="155"/>
      <c r="C1" s="155"/>
      <c r="D1" s="155"/>
    </row>
    <row r="3" spans="1:8" x14ac:dyDescent="0.25">
      <c r="A3" s="110" t="s">
        <v>243</v>
      </c>
      <c r="B3" s="110" t="s">
        <v>559</v>
      </c>
    </row>
    <row r="4" spans="1:8" x14ac:dyDescent="0.25">
      <c r="A4" s="3" t="s">
        <v>363</v>
      </c>
      <c r="B4" s="64"/>
    </row>
    <row r="5" spans="1:8" x14ac:dyDescent="0.25">
      <c r="A5" s="3" t="s">
        <v>367</v>
      </c>
      <c r="B5" s="64"/>
    </row>
    <row r="6" spans="1:8" x14ac:dyDescent="0.25">
      <c r="A6" s="3" t="s">
        <v>369</v>
      </c>
      <c r="B6" s="64"/>
    </row>
    <row r="7" spans="1:8" x14ac:dyDescent="0.25">
      <c r="A7" s="3" t="s">
        <v>371</v>
      </c>
      <c r="B7" s="64"/>
    </row>
    <row r="8" spans="1:8" x14ac:dyDescent="0.25">
      <c r="A8" s="3" t="s">
        <v>373</v>
      </c>
      <c r="B8" s="64"/>
    </row>
    <row r="12" spans="1:8" x14ac:dyDescent="0.25">
      <c r="A12" s="110" t="s">
        <v>103</v>
      </c>
      <c r="B12" s="110" t="s">
        <v>243</v>
      </c>
      <c r="C12" s="110" t="s">
        <v>242</v>
      </c>
      <c r="D12" s="110" t="s">
        <v>104</v>
      </c>
      <c r="E12" s="110" t="s">
        <v>359</v>
      </c>
      <c r="F12" s="110" t="s">
        <v>251</v>
      </c>
      <c r="G12" s="110" t="s">
        <v>105</v>
      </c>
      <c r="H12" s="110" t="s">
        <v>202</v>
      </c>
    </row>
    <row r="13" spans="1:8" x14ac:dyDescent="0.25">
      <c r="A13" s="132">
        <v>40556</v>
      </c>
      <c r="B13" s="3" t="s">
        <v>363</v>
      </c>
      <c r="C13" s="3" t="s">
        <v>248</v>
      </c>
      <c r="D13" s="3" t="s">
        <v>364</v>
      </c>
      <c r="E13" s="3" t="s">
        <v>365</v>
      </c>
      <c r="F13" s="3">
        <v>58</v>
      </c>
      <c r="G13" s="91">
        <v>1102</v>
      </c>
      <c r="H13" s="91">
        <v>464</v>
      </c>
    </row>
    <row r="14" spans="1:8" x14ac:dyDescent="0.25">
      <c r="A14" s="132">
        <v>40558</v>
      </c>
      <c r="B14" s="3" t="s">
        <v>363</v>
      </c>
      <c r="C14" s="3" t="s">
        <v>361</v>
      </c>
      <c r="D14" s="3" t="s">
        <v>349</v>
      </c>
      <c r="E14" s="3" t="s">
        <v>366</v>
      </c>
      <c r="F14" s="3">
        <v>17</v>
      </c>
      <c r="G14" s="91">
        <v>323</v>
      </c>
      <c r="H14" s="91">
        <v>136</v>
      </c>
    </row>
    <row r="15" spans="1:8" x14ac:dyDescent="0.25">
      <c r="A15" s="132">
        <v>40568</v>
      </c>
      <c r="B15" s="3" t="s">
        <v>363</v>
      </c>
      <c r="C15" s="3" t="s">
        <v>247</v>
      </c>
      <c r="D15" s="3" t="s">
        <v>364</v>
      </c>
      <c r="E15" s="3" t="s">
        <v>368</v>
      </c>
      <c r="F15" s="3">
        <v>59</v>
      </c>
      <c r="G15" s="91">
        <v>1121</v>
      </c>
      <c r="H15" s="91">
        <v>472</v>
      </c>
    </row>
    <row r="16" spans="1:8" x14ac:dyDescent="0.25">
      <c r="A16" s="132">
        <v>40546</v>
      </c>
      <c r="B16" s="3" t="s">
        <v>367</v>
      </c>
      <c r="C16" s="3" t="s">
        <v>361</v>
      </c>
      <c r="D16" s="3" t="s">
        <v>246</v>
      </c>
      <c r="E16" s="3" t="s">
        <v>370</v>
      </c>
      <c r="F16" s="3">
        <v>55</v>
      </c>
      <c r="G16" s="91">
        <v>1265</v>
      </c>
      <c r="H16" s="91">
        <v>605</v>
      </c>
    </row>
    <row r="17" spans="1:8" x14ac:dyDescent="0.25">
      <c r="A17" s="132">
        <v>40570</v>
      </c>
      <c r="B17" s="3" t="s">
        <v>369</v>
      </c>
      <c r="C17" s="3" t="s">
        <v>361</v>
      </c>
      <c r="D17" s="3" t="s">
        <v>364</v>
      </c>
      <c r="E17" s="3" t="s">
        <v>372</v>
      </c>
      <c r="F17" s="3">
        <v>44</v>
      </c>
      <c r="G17" s="91">
        <v>924</v>
      </c>
      <c r="H17" s="91">
        <v>407</v>
      </c>
    </row>
    <row r="18" spans="1:8" x14ac:dyDescent="0.25">
      <c r="A18" s="132">
        <v>40557</v>
      </c>
      <c r="B18" s="3" t="s">
        <v>371</v>
      </c>
      <c r="C18" s="3" t="s">
        <v>361</v>
      </c>
      <c r="D18" s="3" t="s">
        <v>374</v>
      </c>
      <c r="E18" s="3" t="s">
        <v>375</v>
      </c>
      <c r="F18" s="3">
        <v>61</v>
      </c>
      <c r="G18" s="91">
        <v>1647</v>
      </c>
      <c r="H18" s="91">
        <v>884.5</v>
      </c>
    </row>
    <row r="19" spans="1:8" x14ac:dyDescent="0.25">
      <c r="A19" s="132">
        <v>40551</v>
      </c>
      <c r="B19" s="3" t="s">
        <v>371</v>
      </c>
      <c r="C19" s="3" t="s">
        <v>361</v>
      </c>
      <c r="D19" s="3" t="s">
        <v>364</v>
      </c>
      <c r="E19" s="3" t="s">
        <v>376</v>
      </c>
      <c r="F19" s="3">
        <v>50</v>
      </c>
      <c r="G19" s="91">
        <v>1350</v>
      </c>
      <c r="H19" s="91">
        <v>725</v>
      </c>
    </row>
    <row r="20" spans="1:8" x14ac:dyDescent="0.25">
      <c r="A20" s="132">
        <v>40559</v>
      </c>
      <c r="B20" s="3" t="s">
        <v>371</v>
      </c>
      <c r="C20" s="3" t="s">
        <v>248</v>
      </c>
      <c r="D20" s="3" t="s">
        <v>377</v>
      </c>
      <c r="E20" s="3" t="s">
        <v>378</v>
      </c>
      <c r="F20" s="3">
        <v>59</v>
      </c>
      <c r="G20" s="91">
        <v>1593</v>
      </c>
      <c r="H20" s="91">
        <v>855.5</v>
      </c>
    </row>
    <row r="21" spans="1:8" x14ac:dyDescent="0.25">
      <c r="A21" s="132">
        <v>40550</v>
      </c>
      <c r="B21" s="3" t="s">
        <v>371</v>
      </c>
      <c r="C21" s="3" t="s">
        <v>248</v>
      </c>
      <c r="D21" s="3" t="s">
        <v>349</v>
      </c>
      <c r="E21" s="3" t="s">
        <v>379</v>
      </c>
      <c r="F21" s="3">
        <v>36</v>
      </c>
      <c r="G21" s="91">
        <v>972</v>
      </c>
      <c r="H21" s="91">
        <v>522</v>
      </c>
    </row>
    <row r="22" spans="1:8" x14ac:dyDescent="0.25">
      <c r="A22" s="132">
        <v>40558</v>
      </c>
      <c r="B22" s="3" t="s">
        <v>369</v>
      </c>
      <c r="C22" s="3" t="s">
        <v>248</v>
      </c>
      <c r="D22" s="3" t="s">
        <v>246</v>
      </c>
      <c r="E22" s="3" t="s">
        <v>370</v>
      </c>
      <c r="F22" s="3">
        <v>14</v>
      </c>
      <c r="G22" s="91">
        <v>294</v>
      </c>
      <c r="H22" s="91">
        <v>129.5</v>
      </c>
    </row>
    <row r="23" spans="1:8" x14ac:dyDescent="0.25">
      <c r="A23" s="132">
        <v>40563</v>
      </c>
      <c r="B23" s="3" t="s">
        <v>371</v>
      </c>
      <c r="C23" s="3" t="s">
        <v>362</v>
      </c>
      <c r="D23" s="3" t="s">
        <v>377</v>
      </c>
      <c r="E23" s="3" t="s">
        <v>380</v>
      </c>
      <c r="F23" s="3">
        <v>38</v>
      </c>
      <c r="G23" s="91">
        <v>1026</v>
      </c>
      <c r="H23" s="91">
        <v>551</v>
      </c>
    </row>
    <row r="24" spans="1:8" x14ac:dyDescent="0.25">
      <c r="A24" s="132">
        <v>40570</v>
      </c>
      <c r="B24" s="3" t="s">
        <v>367</v>
      </c>
      <c r="C24" s="3" t="s">
        <v>361</v>
      </c>
      <c r="D24" s="3" t="s">
        <v>349</v>
      </c>
      <c r="E24" s="3" t="s">
        <v>381</v>
      </c>
      <c r="F24" s="3">
        <v>63</v>
      </c>
      <c r="G24" s="91">
        <v>1449</v>
      </c>
      <c r="H24" s="91">
        <v>693</v>
      </c>
    </row>
    <row r="25" spans="1:8" x14ac:dyDescent="0.25">
      <c r="A25" s="132">
        <v>40551</v>
      </c>
      <c r="B25" s="3" t="s">
        <v>363</v>
      </c>
      <c r="C25" s="3" t="s">
        <v>248</v>
      </c>
      <c r="D25" s="3" t="s">
        <v>382</v>
      </c>
      <c r="E25" s="3" t="s">
        <v>383</v>
      </c>
      <c r="F25" s="3">
        <v>9</v>
      </c>
      <c r="G25" s="91">
        <v>171</v>
      </c>
      <c r="H25" s="91">
        <v>72</v>
      </c>
    </row>
    <row r="26" spans="1:8" x14ac:dyDescent="0.25">
      <c r="A26" s="132">
        <v>40563</v>
      </c>
      <c r="B26" s="3" t="s">
        <v>367</v>
      </c>
      <c r="C26" s="3" t="s">
        <v>361</v>
      </c>
      <c r="D26" s="3" t="s">
        <v>246</v>
      </c>
      <c r="E26" s="3" t="s">
        <v>380</v>
      </c>
      <c r="F26" s="3">
        <v>65</v>
      </c>
      <c r="G26" s="91">
        <v>1495</v>
      </c>
      <c r="H26" s="91">
        <v>715</v>
      </c>
    </row>
    <row r="27" spans="1:8" x14ac:dyDescent="0.25">
      <c r="A27" s="132">
        <v>40548</v>
      </c>
      <c r="B27" s="3" t="s">
        <v>371</v>
      </c>
      <c r="C27" s="3" t="s">
        <v>248</v>
      </c>
      <c r="D27" s="3" t="s">
        <v>377</v>
      </c>
      <c r="E27" s="3" t="s">
        <v>384</v>
      </c>
      <c r="F27" s="3">
        <v>35</v>
      </c>
      <c r="G27" s="91">
        <v>945</v>
      </c>
      <c r="H27" s="91">
        <v>507.5</v>
      </c>
    </row>
    <row r="28" spans="1:8" x14ac:dyDescent="0.25">
      <c r="A28" s="132">
        <v>40555</v>
      </c>
      <c r="B28" s="3" t="s">
        <v>363</v>
      </c>
      <c r="C28" s="3" t="s">
        <v>247</v>
      </c>
      <c r="D28" s="3" t="s">
        <v>246</v>
      </c>
      <c r="E28" s="3" t="s">
        <v>379</v>
      </c>
      <c r="F28" s="3">
        <v>37</v>
      </c>
      <c r="G28" s="91">
        <v>703</v>
      </c>
      <c r="H28" s="91">
        <v>296</v>
      </c>
    </row>
    <row r="29" spans="1:8" x14ac:dyDescent="0.25">
      <c r="A29" s="132">
        <v>40547</v>
      </c>
      <c r="B29" s="3" t="s">
        <v>363</v>
      </c>
      <c r="C29" s="3" t="s">
        <v>248</v>
      </c>
      <c r="D29" s="3" t="s">
        <v>377</v>
      </c>
      <c r="E29" s="3" t="s">
        <v>385</v>
      </c>
      <c r="F29" s="3">
        <v>55</v>
      </c>
      <c r="G29" s="91">
        <v>1045</v>
      </c>
      <c r="H29" s="91">
        <v>440</v>
      </c>
    </row>
    <row r="30" spans="1:8" x14ac:dyDescent="0.25">
      <c r="A30" s="132">
        <v>40571</v>
      </c>
      <c r="B30" s="3" t="s">
        <v>363</v>
      </c>
      <c r="C30" s="3" t="s">
        <v>362</v>
      </c>
      <c r="D30" s="3" t="s">
        <v>374</v>
      </c>
      <c r="E30" s="3" t="s">
        <v>365</v>
      </c>
      <c r="F30" s="3">
        <v>33</v>
      </c>
      <c r="G30" s="91">
        <v>627</v>
      </c>
      <c r="H30" s="91">
        <v>264</v>
      </c>
    </row>
    <row r="31" spans="1:8" x14ac:dyDescent="0.25">
      <c r="A31" s="132">
        <v>40547</v>
      </c>
      <c r="B31" s="3" t="s">
        <v>367</v>
      </c>
      <c r="C31" s="3" t="s">
        <v>248</v>
      </c>
      <c r="D31" s="3" t="s">
        <v>246</v>
      </c>
      <c r="E31" s="3" t="s">
        <v>386</v>
      </c>
      <c r="F31" s="3">
        <v>28</v>
      </c>
      <c r="G31" s="91">
        <v>644</v>
      </c>
      <c r="H31" s="91">
        <v>308</v>
      </c>
    </row>
    <row r="32" spans="1:8" x14ac:dyDescent="0.25">
      <c r="A32" s="132">
        <v>40561</v>
      </c>
      <c r="B32" s="3" t="s">
        <v>371</v>
      </c>
      <c r="C32" s="3" t="s">
        <v>248</v>
      </c>
      <c r="D32" s="3" t="s">
        <v>349</v>
      </c>
      <c r="E32" s="3" t="s">
        <v>372</v>
      </c>
      <c r="F32" s="3">
        <v>10</v>
      </c>
      <c r="G32" s="91">
        <v>270</v>
      </c>
      <c r="H32" s="91">
        <v>145</v>
      </c>
    </row>
    <row r="33" spans="1:8" x14ac:dyDescent="0.25">
      <c r="A33" s="132">
        <v>40564</v>
      </c>
      <c r="B33" s="3" t="s">
        <v>373</v>
      </c>
      <c r="C33" s="3" t="s">
        <v>248</v>
      </c>
      <c r="D33" s="3" t="s">
        <v>246</v>
      </c>
      <c r="E33" s="3" t="s">
        <v>387</v>
      </c>
      <c r="F33" s="3">
        <v>30</v>
      </c>
      <c r="G33" s="91">
        <v>660</v>
      </c>
      <c r="H33" s="91">
        <v>300</v>
      </c>
    </row>
    <row r="34" spans="1:8" x14ac:dyDescent="0.25">
      <c r="A34" s="132">
        <v>40544</v>
      </c>
      <c r="B34" s="3" t="s">
        <v>363</v>
      </c>
      <c r="C34" s="3" t="s">
        <v>247</v>
      </c>
      <c r="D34" s="3" t="s">
        <v>377</v>
      </c>
      <c r="E34" s="3" t="s">
        <v>375</v>
      </c>
      <c r="F34" s="3">
        <v>26</v>
      </c>
      <c r="G34" s="91">
        <v>494</v>
      </c>
      <c r="H34" s="91">
        <v>208</v>
      </c>
    </row>
    <row r="35" spans="1:8" x14ac:dyDescent="0.25">
      <c r="A35" s="132">
        <v>40566</v>
      </c>
      <c r="B35" s="3" t="s">
        <v>369</v>
      </c>
      <c r="C35" s="3" t="s">
        <v>248</v>
      </c>
      <c r="D35" s="3" t="s">
        <v>246</v>
      </c>
      <c r="E35" s="3" t="s">
        <v>388</v>
      </c>
      <c r="F35" s="3">
        <v>6</v>
      </c>
      <c r="G35" s="91">
        <v>126</v>
      </c>
      <c r="H35" s="91">
        <v>55.5</v>
      </c>
    </row>
    <row r="36" spans="1:8" x14ac:dyDescent="0.25">
      <c r="A36" s="132">
        <v>40568</v>
      </c>
      <c r="B36" s="3" t="s">
        <v>371</v>
      </c>
      <c r="C36" s="3" t="s">
        <v>361</v>
      </c>
      <c r="D36" s="3" t="s">
        <v>364</v>
      </c>
      <c r="E36" s="3" t="s">
        <v>379</v>
      </c>
      <c r="F36" s="3">
        <v>41</v>
      </c>
      <c r="G36" s="91">
        <v>1107</v>
      </c>
      <c r="H36" s="91">
        <v>594.5</v>
      </c>
    </row>
    <row r="37" spans="1:8" x14ac:dyDescent="0.25">
      <c r="A37" s="132">
        <v>40562</v>
      </c>
      <c r="B37" s="3" t="s">
        <v>371</v>
      </c>
      <c r="C37" s="3" t="s">
        <v>247</v>
      </c>
      <c r="D37" s="3" t="s">
        <v>374</v>
      </c>
      <c r="E37" s="3" t="s">
        <v>389</v>
      </c>
      <c r="F37" s="3">
        <v>26</v>
      </c>
      <c r="G37" s="91">
        <v>702</v>
      </c>
      <c r="H37" s="91">
        <v>377</v>
      </c>
    </row>
    <row r="38" spans="1:8" x14ac:dyDescent="0.25">
      <c r="A38" s="132">
        <v>40572</v>
      </c>
      <c r="B38" s="3" t="s">
        <v>363</v>
      </c>
      <c r="C38" s="3" t="s">
        <v>361</v>
      </c>
      <c r="D38" s="3" t="s">
        <v>382</v>
      </c>
      <c r="E38" s="3" t="s">
        <v>385</v>
      </c>
      <c r="F38" s="3">
        <v>45</v>
      </c>
      <c r="G38" s="91">
        <v>855</v>
      </c>
      <c r="H38" s="91">
        <v>360</v>
      </c>
    </row>
    <row r="39" spans="1:8" x14ac:dyDescent="0.25">
      <c r="A39" s="132">
        <v>40572</v>
      </c>
      <c r="B39" s="3" t="s">
        <v>369</v>
      </c>
      <c r="C39" s="3" t="s">
        <v>362</v>
      </c>
      <c r="D39" s="3" t="s">
        <v>382</v>
      </c>
      <c r="E39" s="3" t="s">
        <v>390</v>
      </c>
      <c r="F39" s="3">
        <v>15</v>
      </c>
      <c r="G39" s="91">
        <v>315</v>
      </c>
      <c r="H39" s="91">
        <v>138.75</v>
      </c>
    </row>
    <row r="40" spans="1:8" x14ac:dyDescent="0.25">
      <c r="A40" s="132">
        <v>40565</v>
      </c>
      <c r="B40" s="3" t="s">
        <v>367</v>
      </c>
      <c r="C40" s="3" t="s">
        <v>247</v>
      </c>
      <c r="D40" s="3" t="s">
        <v>246</v>
      </c>
      <c r="E40" s="3" t="s">
        <v>365</v>
      </c>
      <c r="F40" s="3">
        <v>65</v>
      </c>
      <c r="G40" s="91">
        <v>1495</v>
      </c>
      <c r="H40" s="91">
        <v>715</v>
      </c>
    </row>
    <row r="41" spans="1:8" x14ac:dyDescent="0.25">
      <c r="A41" s="132">
        <v>40573</v>
      </c>
      <c r="B41" s="3" t="s">
        <v>371</v>
      </c>
      <c r="C41" s="3" t="s">
        <v>248</v>
      </c>
      <c r="D41" s="3" t="s">
        <v>364</v>
      </c>
      <c r="E41" s="3" t="s">
        <v>389</v>
      </c>
      <c r="F41" s="3">
        <v>14</v>
      </c>
      <c r="G41" s="91">
        <v>378</v>
      </c>
      <c r="H41" s="91">
        <v>203</v>
      </c>
    </row>
    <row r="42" spans="1:8" x14ac:dyDescent="0.25">
      <c r="A42" s="132">
        <v>40561</v>
      </c>
      <c r="B42" s="3" t="s">
        <v>373</v>
      </c>
      <c r="C42" s="3" t="s">
        <v>247</v>
      </c>
      <c r="D42" s="3" t="s">
        <v>246</v>
      </c>
      <c r="E42" s="3" t="s">
        <v>366</v>
      </c>
      <c r="F42" s="3">
        <v>56</v>
      </c>
      <c r="G42" s="91">
        <v>1232</v>
      </c>
      <c r="H42" s="91">
        <v>560</v>
      </c>
    </row>
    <row r="43" spans="1:8" x14ac:dyDescent="0.25">
      <c r="A43" s="132">
        <v>40544</v>
      </c>
      <c r="B43" s="3" t="s">
        <v>363</v>
      </c>
      <c r="C43" s="3" t="s">
        <v>247</v>
      </c>
      <c r="D43" s="3" t="s">
        <v>364</v>
      </c>
      <c r="E43" s="3" t="s">
        <v>378</v>
      </c>
      <c r="F43" s="3">
        <v>11</v>
      </c>
      <c r="G43" s="91">
        <v>209</v>
      </c>
      <c r="H43" s="91">
        <v>88</v>
      </c>
    </row>
    <row r="44" spans="1:8" x14ac:dyDescent="0.25">
      <c r="A44" s="132">
        <v>40561</v>
      </c>
      <c r="B44" s="3" t="s">
        <v>371</v>
      </c>
      <c r="C44" s="3" t="s">
        <v>247</v>
      </c>
      <c r="D44" s="3" t="s">
        <v>374</v>
      </c>
      <c r="E44" s="3" t="s">
        <v>391</v>
      </c>
      <c r="F44" s="3">
        <v>40</v>
      </c>
      <c r="G44" s="91">
        <v>1080</v>
      </c>
      <c r="H44" s="91">
        <v>580</v>
      </c>
    </row>
    <row r="45" spans="1:8" x14ac:dyDescent="0.25">
      <c r="A45" s="132">
        <v>40564</v>
      </c>
      <c r="B45" s="3" t="s">
        <v>371</v>
      </c>
      <c r="C45" s="3" t="s">
        <v>361</v>
      </c>
      <c r="D45" s="3" t="s">
        <v>349</v>
      </c>
      <c r="E45" s="3" t="s">
        <v>365</v>
      </c>
      <c r="F45" s="3">
        <v>58</v>
      </c>
      <c r="G45" s="91">
        <v>1566</v>
      </c>
      <c r="H45" s="91">
        <v>841</v>
      </c>
    </row>
    <row r="46" spans="1:8" x14ac:dyDescent="0.25">
      <c r="A46" s="132">
        <v>40555</v>
      </c>
      <c r="B46" s="3" t="s">
        <v>367</v>
      </c>
      <c r="C46" s="3" t="s">
        <v>361</v>
      </c>
      <c r="D46" s="3" t="s">
        <v>246</v>
      </c>
      <c r="E46" s="3" t="s">
        <v>392</v>
      </c>
      <c r="F46" s="3">
        <v>40</v>
      </c>
      <c r="G46" s="91">
        <v>920</v>
      </c>
      <c r="H46" s="91">
        <v>440</v>
      </c>
    </row>
    <row r="47" spans="1:8" x14ac:dyDescent="0.25">
      <c r="A47" s="132">
        <v>40559</v>
      </c>
      <c r="B47" s="3" t="s">
        <v>371</v>
      </c>
      <c r="C47" s="3" t="s">
        <v>247</v>
      </c>
      <c r="D47" s="3" t="s">
        <v>246</v>
      </c>
      <c r="E47" s="3" t="s">
        <v>393</v>
      </c>
      <c r="F47" s="3">
        <v>40</v>
      </c>
      <c r="G47" s="91">
        <v>1080</v>
      </c>
      <c r="H47" s="91">
        <v>580</v>
      </c>
    </row>
    <row r="48" spans="1:8" x14ac:dyDescent="0.25">
      <c r="A48" s="132">
        <v>40548</v>
      </c>
      <c r="B48" s="3" t="s">
        <v>367</v>
      </c>
      <c r="C48" s="3" t="s">
        <v>362</v>
      </c>
      <c r="D48" s="3" t="s">
        <v>364</v>
      </c>
      <c r="E48" s="3" t="s">
        <v>378</v>
      </c>
      <c r="F48" s="3">
        <v>11</v>
      </c>
      <c r="G48" s="91">
        <v>253</v>
      </c>
      <c r="H48" s="91">
        <v>121</v>
      </c>
    </row>
    <row r="49" spans="1:8" x14ac:dyDescent="0.25">
      <c r="A49" s="132">
        <v>40573</v>
      </c>
      <c r="B49" s="3" t="s">
        <v>373</v>
      </c>
      <c r="C49" s="3" t="s">
        <v>247</v>
      </c>
      <c r="D49" s="3" t="s">
        <v>364</v>
      </c>
      <c r="E49" s="3" t="s">
        <v>394</v>
      </c>
      <c r="F49" s="3">
        <v>17</v>
      </c>
      <c r="G49" s="91">
        <v>374</v>
      </c>
      <c r="H49" s="91">
        <v>170</v>
      </c>
    </row>
    <row r="50" spans="1:8" x14ac:dyDescent="0.25">
      <c r="A50" s="132">
        <v>40558</v>
      </c>
      <c r="B50" s="3" t="s">
        <v>371</v>
      </c>
      <c r="C50" s="3" t="s">
        <v>248</v>
      </c>
      <c r="D50" s="3" t="s">
        <v>382</v>
      </c>
      <c r="E50" s="3" t="s">
        <v>392</v>
      </c>
      <c r="F50" s="3">
        <v>19</v>
      </c>
      <c r="G50" s="91">
        <v>513</v>
      </c>
      <c r="H50" s="91">
        <v>275.5</v>
      </c>
    </row>
    <row r="51" spans="1:8" x14ac:dyDescent="0.25">
      <c r="A51" s="132">
        <v>40573</v>
      </c>
      <c r="B51" s="3" t="s">
        <v>371</v>
      </c>
      <c r="C51" s="3" t="s">
        <v>361</v>
      </c>
      <c r="D51" s="3" t="s">
        <v>382</v>
      </c>
      <c r="E51" s="3" t="s">
        <v>379</v>
      </c>
      <c r="F51" s="3">
        <v>15</v>
      </c>
      <c r="G51" s="91">
        <v>405</v>
      </c>
      <c r="H51" s="91">
        <v>217.5</v>
      </c>
    </row>
    <row r="52" spans="1:8" x14ac:dyDescent="0.25">
      <c r="A52" s="132">
        <v>40559</v>
      </c>
      <c r="B52" s="3" t="s">
        <v>363</v>
      </c>
      <c r="C52" s="3" t="s">
        <v>248</v>
      </c>
      <c r="D52" s="3" t="s">
        <v>382</v>
      </c>
      <c r="E52" s="3" t="s">
        <v>386</v>
      </c>
      <c r="F52" s="3">
        <v>57</v>
      </c>
      <c r="G52" s="91">
        <v>1083</v>
      </c>
      <c r="H52" s="91">
        <v>456</v>
      </c>
    </row>
    <row r="53" spans="1:8" x14ac:dyDescent="0.25">
      <c r="A53" s="132">
        <v>40567</v>
      </c>
      <c r="B53" s="3" t="s">
        <v>369</v>
      </c>
      <c r="C53" s="3" t="s">
        <v>361</v>
      </c>
      <c r="D53" s="3" t="s">
        <v>364</v>
      </c>
      <c r="E53" s="3" t="s">
        <v>386</v>
      </c>
      <c r="F53" s="3">
        <v>17</v>
      </c>
      <c r="G53" s="91">
        <v>357</v>
      </c>
      <c r="H53" s="91">
        <v>157.25</v>
      </c>
    </row>
    <row r="54" spans="1:8" x14ac:dyDescent="0.25">
      <c r="A54" s="132">
        <v>40569</v>
      </c>
      <c r="B54" s="3" t="s">
        <v>367</v>
      </c>
      <c r="C54" s="3" t="s">
        <v>362</v>
      </c>
      <c r="D54" s="3" t="s">
        <v>374</v>
      </c>
      <c r="E54" s="3" t="s">
        <v>375</v>
      </c>
      <c r="F54" s="3">
        <v>31</v>
      </c>
      <c r="G54" s="91">
        <v>713</v>
      </c>
      <c r="H54" s="91">
        <v>341</v>
      </c>
    </row>
    <row r="55" spans="1:8" x14ac:dyDescent="0.25">
      <c r="A55" s="132">
        <v>40554</v>
      </c>
      <c r="B55" s="3" t="s">
        <v>369</v>
      </c>
      <c r="C55" s="3" t="s">
        <v>362</v>
      </c>
      <c r="D55" s="3" t="s">
        <v>382</v>
      </c>
      <c r="E55" s="3" t="s">
        <v>395</v>
      </c>
      <c r="F55" s="3">
        <v>28</v>
      </c>
      <c r="G55" s="91">
        <v>588</v>
      </c>
      <c r="H55" s="91">
        <v>259</v>
      </c>
    </row>
    <row r="56" spans="1:8" x14ac:dyDescent="0.25">
      <c r="A56" s="132">
        <v>40549</v>
      </c>
      <c r="B56" s="3" t="s">
        <v>373</v>
      </c>
      <c r="C56" s="3" t="s">
        <v>361</v>
      </c>
      <c r="D56" s="3" t="s">
        <v>374</v>
      </c>
      <c r="E56" s="3" t="s">
        <v>396</v>
      </c>
      <c r="F56" s="3">
        <v>11</v>
      </c>
      <c r="G56" s="91">
        <v>242</v>
      </c>
      <c r="H56" s="91">
        <v>110</v>
      </c>
    </row>
    <row r="57" spans="1:8" x14ac:dyDescent="0.25">
      <c r="A57" s="132">
        <v>40552</v>
      </c>
      <c r="B57" s="3" t="s">
        <v>373</v>
      </c>
      <c r="C57" s="3" t="s">
        <v>248</v>
      </c>
      <c r="D57" s="3" t="s">
        <v>374</v>
      </c>
      <c r="E57" s="3" t="s">
        <v>379</v>
      </c>
      <c r="F57" s="3">
        <v>20</v>
      </c>
      <c r="G57" s="91">
        <v>440</v>
      </c>
      <c r="H57" s="91">
        <v>200</v>
      </c>
    </row>
    <row r="58" spans="1:8" x14ac:dyDescent="0.25">
      <c r="A58" s="132">
        <v>40559</v>
      </c>
      <c r="B58" s="3" t="s">
        <v>371</v>
      </c>
      <c r="C58" s="3" t="s">
        <v>248</v>
      </c>
      <c r="D58" s="3" t="s">
        <v>349</v>
      </c>
      <c r="E58" s="3" t="s">
        <v>397</v>
      </c>
      <c r="F58" s="3">
        <v>8</v>
      </c>
      <c r="G58" s="91">
        <v>216</v>
      </c>
      <c r="H58" s="91">
        <v>116</v>
      </c>
    </row>
    <row r="59" spans="1:8" x14ac:dyDescent="0.25">
      <c r="A59" s="132">
        <v>40555</v>
      </c>
      <c r="B59" s="3" t="s">
        <v>371</v>
      </c>
      <c r="C59" s="3" t="s">
        <v>247</v>
      </c>
      <c r="D59" s="3" t="s">
        <v>364</v>
      </c>
      <c r="E59" s="3" t="s">
        <v>379</v>
      </c>
      <c r="F59" s="3">
        <v>34</v>
      </c>
      <c r="G59" s="91">
        <v>918</v>
      </c>
      <c r="H59" s="91">
        <v>493</v>
      </c>
    </row>
    <row r="60" spans="1:8" x14ac:dyDescent="0.25">
      <c r="A60" s="132">
        <v>40557</v>
      </c>
      <c r="B60" s="3" t="s">
        <v>367</v>
      </c>
      <c r="C60" s="3" t="s">
        <v>361</v>
      </c>
      <c r="D60" s="3" t="s">
        <v>349</v>
      </c>
      <c r="E60" s="3" t="s">
        <v>396</v>
      </c>
      <c r="F60" s="3">
        <v>34</v>
      </c>
      <c r="G60" s="91">
        <v>782</v>
      </c>
      <c r="H60" s="91">
        <v>374</v>
      </c>
    </row>
    <row r="61" spans="1:8" x14ac:dyDescent="0.25">
      <c r="A61" s="132">
        <v>40545</v>
      </c>
      <c r="B61" s="3" t="s">
        <v>363</v>
      </c>
      <c r="C61" s="3" t="s">
        <v>247</v>
      </c>
      <c r="D61" s="3" t="s">
        <v>364</v>
      </c>
      <c r="E61" s="3" t="s">
        <v>398</v>
      </c>
      <c r="F61" s="3">
        <v>16</v>
      </c>
      <c r="G61" s="91">
        <v>304</v>
      </c>
      <c r="H61" s="91">
        <v>128</v>
      </c>
    </row>
    <row r="62" spans="1:8" x14ac:dyDescent="0.25">
      <c r="A62" s="132">
        <v>40553</v>
      </c>
      <c r="B62" s="3" t="s">
        <v>367</v>
      </c>
      <c r="C62" s="3" t="s">
        <v>248</v>
      </c>
      <c r="D62" s="3" t="s">
        <v>246</v>
      </c>
      <c r="E62" s="3" t="s">
        <v>375</v>
      </c>
      <c r="F62" s="3">
        <v>32</v>
      </c>
      <c r="G62" s="91">
        <v>736</v>
      </c>
      <c r="H62" s="91">
        <v>352</v>
      </c>
    </row>
    <row r="63" spans="1:8" x14ac:dyDescent="0.25">
      <c r="A63" s="132">
        <v>40571</v>
      </c>
      <c r="B63" s="3" t="s">
        <v>369</v>
      </c>
      <c r="C63" s="3" t="s">
        <v>361</v>
      </c>
      <c r="D63" s="3" t="s">
        <v>349</v>
      </c>
      <c r="E63" s="3" t="s">
        <v>387</v>
      </c>
      <c r="F63" s="3">
        <v>61</v>
      </c>
      <c r="G63" s="91">
        <v>1281</v>
      </c>
      <c r="H63" s="91">
        <v>564.25</v>
      </c>
    </row>
    <row r="64" spans="1:8" x14ac:dyDescent="0.25">
      <c r="A64" s="132">
        <v>40554</v>
      </c>
      <c r="B64" s="3" t="s">
        <v>369</v>
      </c>
      <c r="C64" s="3" t="s">
        <v>362</v>
      </c>
      <c r="D64" s="3" t="s">
        <v>364</v>
      </c>
      <c r="E64" s="3" t="s">
        <v>375</v>
      </c>
      <c r="F64" s="3">
        <v>59</v>
      </c>
      <c r="G64" s="91">
        <v>1239</v>
      </c>
      <c r="H64" s="91">
        <v>545.75</v>
      </c>
    </row>
    <row r="65" spans="1:8" x14ac:dyDescent="0.25">
      <c r="A65" s="132">
        <v>40546</v>
      </c>
      <c r="B65" s="3" t="s">
        <v>373</v>
      </c>
      <c r="C65" s="3" t="s">
        <v>362</v>
      </c>
      <c r="D65" s="3" t="s">
        <v>246</v>
      </c>
      <c r="E65" s="3" t="s">
        <v>375</v>
      </c>
      <c r="F65" s="3">
        <v>30</v>
      </c>
      <c r="G65" s="91">
        <v>660</v>
      </c>
      <c r="H65" s="91">
        <v>300</v>
      </c>
    </row>
    <row r="66" spans="1:8" x14ac:dyDescent="0.25">
      <c r="A66" s="132">
        <v>40558</v>
      </c>
      <c r="B66" s="3" t="s">
        <v>373</v>
      </c>
      <c r="C66" s="3" t="s">
        <v>361</v>
      </c>
      <c r="D66" s="3" t="s">
        <v>377</v>
      </c>
      <c r="E66" s="3" t="s">
        <v>381</v>
      </c>
      <c r="F66" s="3">
        <v>22</v>
      </c>
      <c r="G66" s="91">
        <v>484</v>
      </c>
      <c r="H66" s="91">
        <v>220</v>
      </c>
    </row>
    <row r="67" spans="1:8" x14ac:dyDescent="0.25">
      <c r="A67" s="132">
        <v>40557</v>
      </c>
      <c r="B67" s="3" t="s">
        <v>367</v>
      </c>
      <c r="C67" s="3" t="s">
        <v>247</v>
      </c>
      <c r="D67" s="3" t="s">
        <v>364</v>
      </c>
      <c r="E67" s="3" t="s">
        <v>376</v>
      </c>
      <c r="F67" s="3">
        <v>6</v>
      </c>
      <c r="G67" s="91">
        <v>138</v>
      </c>
      <c r="H67" s="91">
        <v>66</v>
      </c>
    </row>
    <row r="68" spans="1:8" x14ac:dyDescent="0.25">
      <c r="A68" s="132">
        <v>40571</v>
      </c>
      <c r="B68" s="3" t="s">
        <v>371</v>
      </c>
      <c r="C68" s="3" t="s">
        <v>361</v>
      </c>
      <c r="D68" s="3" t="s">
        <v>374</v>
      </c>
      <c r="E68" s="3" t="s">
        <v>399</v>
      </c>
      <c r="F68" s="3">
        <v>16</v>
      </c>
      <c r="G68" s="91">
        <v>432</v>
      </c>
      <c r="H68" s="91">
        <v>232</v>
      </c>
    </row>
    <row r="69" spans="1:8" x14ac:dyDescent="0.25">
      <c r="A69" s="132">
        <v>40547</v>
      </c>
      <c r="B69" s="3" t="s">
        <v>371</v>
      </c>
      <c r="C69" s="3" t="s">
        <v>248</v>
      </c>
      <c r="D69" s="3" t="s">
        <v>349</v>
      </c>
      <c r="E69" s="3" t="s">
        <v>395</v>
      </c>
      <c r="F69" s="3">
        <v>19</v>
      </c>
      <c r="G69" s="91">
        <v>513</v>
      </c>
      <c r="H69" s="91">
        <v>275.5</v>
      </c>
    </row>
    <row r="70" spans="1:8" x14ac:dyDescent="0.25">
      <c r="A70" s="132">
        <v>40556</v>
      </c>
      <c r="B70" s="3" t="s">
        <v>367</v>
      </c>
      <c r="C70" s="3" t="s">
        <v>362</v>
      </c>
      <c r="D70" s="3" t="s">
        <v>246</v>
      </c>
      <c r="E70" s="3" t="s">
        <v>391</v>
      </c>
      <c r="F70" s="3">
        <v>30</v>
      </c>
      <c r="G70" s="91">
        <v>690</v>
      </c>
      <c r="H70" s="91">
        <v>330</v>
      </c>
    </row>
    <row r="71" spans="1:8" x14ac:dyDescent="0.25">
      <c r="A71" s="132">
        <v>40555</v>
      </c>
      <c r="B71" s="3" t="s">
        <v>363</v>
      </c>
      <c r="C71" s="3" t="s">
        <v>247</v>
      </c>
      <c r="D71" s="3" t="s">
        <v>377</v>
      </c>
      <c r="E71" s="3" t="s">
        <v>372</v>
      </c>
      <c r="F71" s="3">
        <v>62</v>
      </c>
      <c r="G71" s="91">
        <v>1178</v>
      </c>
      <c r="H71" s="91">
        <v>496</v>
      </c>
    </row>
    <row r="72" spans="1:8" x14ac:dyDescent="0.25">
      <c r="A72" s="132">
        <v>40567</v>
      </c>
      <c r="B72" s="3" t="s">
        <v>373</v>
      </c>
      <c r="C72" s="3" t="s">
        <v>361</v>
      </c>
      <c r="D72" s="3" t="s">
        <v>364</v>
      </c>
      <c r="E72" s="3" t="s">
        <v>379</v>
      </c>
      <c r="F72" s="3">
        <v>25</v>
      </c>
      <c r="G72" s="91">
        <v>550</v>
      </c>
      <c r="H72" s="91">
        <v>250</v>
      </c>
    </row>
    <row r="73" spans="1:8" x14ac:dyDescent="0.25">
      <c r="A73" s="132">
        <v>40557</v>
      </c>
      <c r="B73" s="3" t="s">
        <v>363</v>
      </c>
      <c r="C73" s="3" t="s">
        <v>247</v>
      </c>
      <c r="D73" s="3" t="s">
        <v>349</v>
      </c>
      <c r="E73" s="3" t="s">
        <v>378</v>
      </c>
      <c r="F73" s="3">
        <v>13</v>
      </c>
      <c r="G73" s="91">
        <v>247</v>
      </c>
      <c r="H73" s="91">
        <v>104</v>
      </c>
    </row>
    <row r="74" spans="1:8" x14ac:dyDescent="0.25">
      <c r="A74" s="132">
        <v>40549</v>
      </c>
      <c r="B74" s="3" t="s">
        <v>369</v>
      </c>
      <c r="C74" s="3" t="s">
        <v>361</v>
      </c>
      <c r="D74" s="3" t="s">
        <v>246</v>
      </c>
      <c r="E74" s="3" t="s">
        <v>388</v>
      </c>
      <c r="F74" s="3">
        <v>24</v>
      </c>
      <c r="G74" s="91">
        <v>504</v>
      </c>
      <c r="H74" s="91">
        <v>222</v>
      </c>
    </row>
    <row r="75" spans="1:8" x14ac:dyDescent="0.25">
      <c r="A75" s="132">
        <v>40562</v>
      </c>
      <c r="B75" s="3" t="s">
        <v>367</v>
      </c>
      <c r="C75" s="3" t="s">
        <v>362</v>
      </c>
      <c r="D75" s="3" t="s">
        <v>377</v>
      </c>
      <c r="E75" s="3" t="s">
        <v>400</v>
      </c>
      <c r="F75" s="3">
        <v>51</v>
      </c>
      <c r="G75" s="91">
        <v>1173</v>
      </c>
      <c r="H75" s="91">
        <v>561</v>
      </c>
    </row>
    <row r="76" spans="1:8" x14ac:dyDescent="0.25">
      <c r="A76" s="132">
        <v>40570</v>
      </c>
      <c r="B76" s="3" t="s">
        <v>363</v>
      </c>
      <c r="C76" s="3" t="s">
        <v>248</v>
      </c>
      <c r="D76" s="3" t="s">
        <v>364</v>
      </c>
      <c r="E76" s="3" t="s">
        <v>390</v>
      </c>
      <c r="F76" s="3">
        <v>23</v>
      </c>
      <c r="G76" s="91">
        <v>437</v>
      </c>
      <c r="H76" s="91">
        <v>184</v>
      </c>
    </row>
    <row r="77" spans="1:8" x14ac:dyDescent="0.25">
      <c r="A77" s="132">
        <v>40564</v>
      </c>
      <c r="B77" s="3" t="s">
        <v>367</v>
      </c>
      <c r="C77" s="3" t="s">
        <v>247</v>
      </c>
      <c r="D77" s="3" t="s">
        <v>377</v>
      </c>
      <c r="E77" s="3" t="s">
        <v>386</v>
      </c>
      <c r="F77" s="3">
        <v>41</v>
      </c>
      <c r="G77" s="91">
        <v>943</v>
      </c>
      <c r="H77" s="91">
        <v>451</v>
      </c>
    </row>
    <row r="78" spans="1:8" x14ac:dyDescent="0.25">
      <c r="A78" s="132">
        <v>40547</v>
      </c>
      <c r="B78" s="3" t="s">
        <v>363</v>
      </c>
      <c r="C78" s="3" t="s">
        <v>247</v>
      </c>
      <c r="D78" s="3" t="s">
        <v>377</v>
      </c>
      <c r="E78" s="3" t="s">
        <v>378</v>
      </c>
      <c r="F78" s="3">
        <v>11</v>
      </c>
      <c r="G78" s="91">
        <v>209</v>
      </c>
      <c r="H78" s="91">
        <v>88</v>
      </c>
    </row>
    <row r="79" spans="1:8" x14ac:dyDescent="0.25">
      <c r="A79" s="132">
        <v>40547</v>
      </c>
      <c r="B79" s="3" t="s">
        <v>371</v>
      </c>
      <c r="C79" s="3" t="s">
        <v>361</v>
      </c>
      <c r="D79" s="3" t="s">
        <v>364</v>
      </c>
      <c r="E79" s="3" t="s">
        <v>396</v>
      </c>
      <c r="F79" s="3">
        <v>19</v>
      </c>
      <c r="G79" s="91">
        <v>513</v>
      </c>
      <c r="H79" s="91">
        <v>275.5</v>
      </c>
    </row>
    <row r="80" spans="1:8" x14ac:dyDescent="0.25">
      <c r="A80" s="132">
        <v>40570</v>
      </c>
      <c r="B80" s="3" t="s">
        <v>373</v>
      </c>
      <c r="C80" s="3" t="s">
        <v>247</v>
      </c>
      <c r="D80" s="3" t="s">
        <v>374</v>
      </c>
      <c r="E80" s="3" t="s">
        <v>396</v>
      </c>
      <c r="F80" s="3">
        <v>62</v>
      </c>
      <c r="G80" s="91">
        <v>1364</v>
      </c>
      <c r="H80" s="91">
        <v>620</v>
      </c>
    </row>
    <row r="81" spans="1:8" x14ac:dyDescent="0.25">
      <c r="A81" s="132">
        <v>40562</v>
      </c>
      <c r="B81" s="3" t="s">
        <v>363</v>
      </c>
      <c r="C81" s="3" t="s">
        <v>362</v>
      </c>
      <c r="D81" s="3" t="s">
        <v>377</v>
      </c>
      <c r="E81" s="3" t="s">
        <v>390</v>
      </c>
      <c r="F81" s="3">
        <v>48</v>
      </c>
      <c r="G81" s="91">
        <v>912</v>
      </c>
      <c r="H81" s="91">
        <v>384</v>
      </c>
    </row>
    <row r="82" spans="1:8" x14ac:dyDescent="0.25">
      <c r="A82" s="132">
        <v>40554</v>
      </c>
      <c r="B82" s="3" t="s">
        <v>373</v>
      </c>
      <c r="C82" s="3" t="s">
        <v>248</v>
      </c>
      <c r="D82" s="3" t="s">
        <v>364</v>
      </c>
      <c r="E82" s="3" t="s">
        <v>366</v>
      </c>
      <c r="F82" s="3">
        <v>34</v>
      </c>
      <c r="G82" s="91">
        <v>748</v>
      </c>
      <c r="H82" s="91">
        <v>340</v>
      </c>
    </row>
    <row r="83" spans="1:8" x14ac:dyDescent="0.25">
      <c r="A83" s="132">
        <v>40544</v>
      </c>
      <c r="B83" s="3" t="s">
        <v>367</v>
      </c>
      <c r="C83" s="3" t="s">
        <v>361</v>
      </c>
      <c r="D83" s="3" t="s">
        <v>364</v>
      </c>
      <c r="E83" s="3" t="s">
        <v>368</v>
      </c>
      <c r="F83" s="3">
        <v>37</v>
      </c>
      <c r="G83" s="91">
        <v>851</v>
      </c>
      <c r="H83" s="91">
        <v>407</v>
      </c>
    </row>
    <row r="84" spans="1:8" x14ac:dyDescent="0.25">
      <c r="A84" s="132">
        <v>40548</v>
      </c>
      <c r="B84" s="3" t="s">
        <v>363</v>
      </c>
      <c r="C84" s="3" t="s">
        <v>247</v>
      </c>
      <c r="D84" s="3" t="s">
        <v>349</v>
      </c>
      <c r="E84" s="3" t="s">
        <v>392</v>
      </c>
      <c r="F84" s="3">
        <v>50</v>
      </c>
      <c r="G84" s="91">
        <v>950</v>
      </c>
      <c r="H84" s="91">
        <v>400</v>
      </c>
    </row>
    <row r="85" spans="1:8" x14ac:dyDescent="0.25">
      <c r="A85" s="132">
        <v>40558</v>
      </c>
      <c r="B85" s="3" t="s">
        <v>367</v>
      </c>
      <c r="C85" s="3" t="s">
        <v>247</v>
      </c>
      <c r="D85" s="3" t="s">
        <v>374</v>
      </c>
      <c r="E85" s="3" t="s">
        <v>375</v>
      </c>
      <c r="F85" s="3">
        <v>51</v>
      </c>
      <c r="G85" s="91">
        <v>1173</v>
      </c>
      <c r="H85" s="91">
        <v>561</v>
      </c>
    </row>
    <row r="86" spans="1:8" x14ac:dyDescent="0.25">
      <c r="A86" s="132">
        <v>40566</v>
      </c>
      <c r="B86" s="3" t="s">
        <v>367</v>
      </c>
      <c r="C86" s="3" t="s">
        <v>247</v>
      </c>
      <c r="D86" s="3" t="s">
        <v>377</v>
      </c>
      <c r="E86" s="3" t="s">
        <v>376</v>
      </c>
      <c r="F86" s="3">
        <v>32</v>
      </c>
      <c r="G86" s="91">
        <v>736</v>
      </c>
      <c r="H86" s="91">
        <v>352</v>
      </c>
    </row>
    <row r="87" spans="1:8" x14ac:dyDescent="0.25">
      <c r="A87" s="132">
        <v>40550</v>
      </c>
      <c r="B87" s="3" t="s">
        <v>367</v>
      </c>
      <c r="C87" s="3" t="s">
        <v>362</v>
      </c>
      <c r="D87" s="3" t="s">
        <v>246</v>
      </c>
      <c r="E87" s="3" t="s">
        <v>368</v>
      </c>
      <c r="F87" s="3">
        <v>22</v>
      </c>
      <c r="G87" s="91">
        <v>506</v>
      </c>
      <c r="H87" s="91">
        <v>242</v>
      </c>
    </row>
    <row r="88" spans="1:8" x14ac:dyDescent="0.25">
      <c r="A88" s="132">
        <v>40559</v>
      </c>
      <c r="B88" s="3" t="s">
        <v>367</v>
      </c>
      <c r="C88" s="3" t="s">
        <v>362</v>
      </c>
      <c r="D88" s="3" t="s">
        <v>349</v>
      </c>
      <c r="E88" s="3" t="s">
        <v>394</v>
      </c>
      <c r="F88" s="3">
        <v>33</v>
      </c>
      <c r="G88" s="91">
        <v>759</v>
      </c>
      <c r="H88" s="91">
        <v>363</v>
      </c>
    </row>
    <row r="89" spans="1:8" x14ac:dyDescent="0.25">
      <c r="A89" s="132">
        <v>40562</v>
      </c>
      <c r="B89" s="3" t="s">
        <v>373</v>
      </c>
      <c r="C89" s="3" t="s">
        <v>362</v>
      </c>
      <c r="D89" s="3" t="s">
        <v>377</v>
      </c>
      <c r="E89" s="3" t="s">
        <v>375</v>
      </c>
      <c r="F89" s="3">
        <v>18</v>
      </c>
      <c r="G89" s="91">
        <v>396</v>
      </c>
      <c r="H89" s="91">
        <v>180</v>
      </c>
    </row>
    <row r="90" spans="1:8" x14ac:dyDescent="0.25">
      <c r="A90" s="132">
        <v>40571</v>
      </c>
      <c r="B90" s="3" t="s">
        <v>363</v>
      </c>
      <c r="C90" s="3" t="s">
        <v>248</v>
      </c>
      <c r="D90" s="3" t="s">
        <v>349</v>
      </c>
      <c r="E90" s="3" t="s">
        <v>387</v>
      </c>
      <c r="F90" s="3">
        <v>17</v>
      </c>
      <c r="G90" s="91">
        <v>323</v>
      </c>
      <c r="H90" s="91">
        <v>136</v>
      </c>
    </row>
    <row r="91" spans="1:8" x14ac:dyDescent="0.25">
      <c r="A91" s="132">
        <v>40559</v>
      </c>
      <c r="B91" s="3" t="s">
        <v>363</v>
      </c>
      <c r="C91" s="3" t="s">
        <v>362</v>
      </c>
      <c r="D91" s="3" t="s">
        <v>246</v>
      </c>
      <c r="E91" s="3" t="s">
        <v>380</v>
      </c>
      <c r="F91" s="3">
        <v>14</v>
      </c>
      <c r="G91" s="91">
        <v>266</v>
      </c>
      <c r="H91" s="91">
        <v>112</v>
      </c>
    </row>
    <row r="92" spans="1:8" x14ac:dyDescent="0.25">
      <c r="A92" s="132">
        <v>40558</v>
      </c>
      <c r="B92" s="3" t="s">
        <v>363</v>
      </c>
      <c r="C92" s="3" t="s">
        <v>361</v>
      </c>
      <c r="D92" s="3" t="s">
        <v>377</v>
      </c>
      <c r="E92" s="3" t="s">
        <v>399</v>
      </c>
      <c r="F92" s="3">
        <v>54</v>
      </c>
      <c r="G92" s="91">
        <v>1026</v>
      </c>
      <c r="H92" s="91">
        <v>432</v>
      </c>
    </row>
    <row r="93" spans="1:8" x14ac:dyDescent="0.25">
      <c r="A93" s="132">
        <v>40570</v>
      </c>
      <c r="B93" s="3" t="s">
        <v>373</v>
      </c>
      <c r="C93" s="3" t="s">
        <v>248</v>
      </c>
      <c r="D93" s="3" t="s">
        <v>364</v>
      </c>
      <c r="E93" s="3" t="s">
        <v>375</v>
      </c>
      <c r="F93" s="3">
        <v>56</v>
      </c>
      <c r="G93" s="91">
        <v>1232</v>
      </c>
      <c r="H93" s="91">
        <v>560</v>
      </c>
    </row>
    <row r="94" spans="1:8" x14ac:dyDescent="0.25">
      <c r="A94" s="132">
        <v>40571</v>
      </c>
      <c r="B94" s="3" t="s">
        <v>373</v>
      </c>
      <c r="C94" s="3" t="s">
        <v>362</v>
      </c>
      <c r="D94" s="3" t="s">
        <v>349</v>
      </c>
      <c r="E94" s="3" t="s">
        <v>392</v>
      </c>
      <c r="F94" s="3">
        <v>47</v>
      </c>
      <c r="G94" s="91">
        <v>1034</v>
      </c>
      <c r="H94" s="91">
        <v>470</v>
      </c>
    </row>
    <row r="95" spans="1:8" x14ac:dyDescent="0.25">
      <c r="A95" s="132">
        <v>40571</v>
      </c>
      <c r="B95" s="3" t="s">
        <v>373</v>
      </c>
      <c r="C95" s="3" t="s">
        <v>247</v>
      </c>
      <c r="D95" s="3" t="s">
        <v>246</v>
      </c>
      <c r="E95" s="3" t="s">
        <v>401</v>
      </c>
      <c r="F95" s="3">
        <v>65</v>
      </c>
      <c r="G95" s="91">
        <v>1430</v>
      </c>
      <c r="H95" s="91">
        <v>650</v>
      </c>
    </row>
    <row r="96" spans="1:8" x14ac:dyDescent="0.25">
      <c r="A96" s="132">
        <v>40558</v>
      </c>
      <c r="B96" s="3" t="s">
        <v>369</v>
      </c>
      <c r="C96" s="3" t="s">
        <v>361</v>
      </c>
      <c r="D96" s="3" t="s">
        <v>364</v>
      </c>
      <c r="E96" s="3" t="s">
        <v>378</v>
      </c>
      <c r="F96" s="3">
        <v>56</v>
      </c>
      <c r="G96" s="91">
        <v>1176</v>
      </c>
      <c r="H96" s="91">
        <v>518</v>
      </c>
    </row>
    <row r="97" spans="1:8" x14ac:dyDescent="0.25">
      <c r="A97" s="132">
        <v>40557</v>
      </c>
      <c r="B97" s="3" t="s">
        <v>371</v>
      </c>
      <c r="C97" s="3" t="s">
        <v>362</v>
      </c>
      <c r="D97" s="3" t="s">
        <v>377</v>
      </c>
      <c r="E97" s="3" t="s">
        <v>391</v>
      </c>
      <c r="F97" s="3">
        <v>64</v>
      </c>
      <c r="G97" s="91">
        <v>1728</v>
      </c>
      <c r="H97" s="91">
        <v>928</v>
      </c>
    </row>
    <row r="98" spans="1:8" x14ac:dyDescent="0.25">
      <c r="A98" s="132">
        <v>40562</v>
      </c>
      <c r="B98" s="3" t="s">
        <v>369</v>
      </c>
      <c r="C98" s="3" t="s">
        <v>361</v>
      </c>
      <c r="D98" s="3" t="s">
        <v>374</v>
      </c>
      <c r="E98" s="3" t="s">
        <v>402</v>
      </c>
      <c r="F98" s="3">
        <v>63</v>
      </c>
      <c r="G98" s="91">
        <v>1323</v>
      </c>
      <c r="H98" s="91">
        <v>582.75</v>
      </c>
    </row>
    <row r="99" spans="1:8" x14ac:dyDescent="0.25">
      <c r="A99" s="132">
        <v>40572</v>
      </c>
      <c r="B99" s="3" t="s">
        <v>369</v>
      </c>
      <c r="C99" s="3" t="s">
        <v>247</v>
      </c>
      <c r="D99" s="3" t="s">
        <v>374</v>
      </c>
      <c r="E99" s="3" t="s">
        <v>375</v>
      </c>
      <c r="F99" s="3">
        <v>25</v>
      </c>
      <c r="G99" s="91">
        <v>525</v>
      </c>
      <c r="H99" s="91">
        <v>231.25</v>
      </c>
    </row>
    <row r="100" spans="1:8" x14ac:dyDescent="0.25">
      <c r="A100" s="132">
        <v>40560</v>
      </c>
      <c r="B100" s="3" t="s">
        <v>371</v>
      </c>
      <c r="C100" s="3" t="s">
        <v>248</v>
      </c>
      <c r="D100" s="3" t="s">
        <v>364</v>
      </c>
      <c r="E100" s="3" t="s">
        <v>385</v>
      </c>
      <c r="F100" s="3">
        <v>15</v>
      </c>
      <c r="G100" s="91">
        <v>405</v>
      </c>
      <c r="H100" s="91">
        <v>217.5</v>
      </c>
    </row>
    <row r="101" spans="1:8" x14ac:dyDescent="0.25">
      <c r="A101" s="132">
        <v>40573</v>
      </c>
      <c r="B101" s="3" t="s">
        <v>363</v>
      </c>
      <c r="C101" s="3" t="s">
        <v>361</v>
      </c>
      <c r="D101" s="3" t="s">
        <v>364</v>
      </c>
      <c r="E101" s="3" t="s">
        <v>381</v>
      </c>
      <c r="F101" s="3">
        <v>42</v>
      </c>
      <c r="G101" s="91">
        <v>798</v>
      </c>
      <c r="H101" s="91">
        <v>336</v>
      </c>
    </row>
    <row r="102" spans="1:8" x14ac:dyDescent="0.25">
      <c r="A102" s="132">
        <v>40559</v>
      </c>
      <c r="B102" s="3" t="s">
        <v>369</v>
      </c>
      <c r="C102" s="3" t="s">
        <v>361</v>
      </c>
      <c r="D102" s="3" t="s">
        <v>377</v>
      </c>
      <c r="E102" s="3" t="s">
        <v>368</v>
      </c>
      <c r="F102" s="3">
        <v>31</v>
      </c>
      <c r="G102" s="91">
        <v>651</v>
      </c>
      <c r="H102" s="91">
        <v>286.75</v>
      </c>
    </row>
    <row r="103" spans="1:8" x14ac:dyDescent="0.25">
      <c r="A103" s="132">
        <v>40562</v>
      </c>
      <c r="B103" s="3" t="s">
        <v>369</v>
      </c>
      <c r="C103" s="3" t="s">
        <v>247</v>
      </c>
      <c r="D103" s="3" t="s">
        <v>382</v>
      </c>
      <c r="E103" s="3" t="s">
        <v>387</v>
      </c>
      <c r="F103" s="3">
        <v>32</v>
      </c>
      <c r="G103" s="91">
        <v>672</v>
      </c>
      <c r="H103" s="91">
        <v>296</v>
      </c>
    </row>
    <row r="104" spans="1:8" x14ac:dyDescent="0.25">
      <c r="A104" s="132">
        <v>40548</v>
      </c>
      <c r="B104" s="3" t="s">
        <v>367</v>
      </c>
      <c r="C104" s="3" t="s">
        <v>362</v>
      </c>
      <c r="D104" s="3" t="s">
        <v>349</v>
      </c>
      <c r="E104" s="3" t="s">
        <v>386</v>
      </c>
      <c r="F104" s="3">
        <v>34</v>
      </c>
      <c r="G104" s="91">
        <v>782</v>
      </c>
      <c r="H104" s="91">
        <v>374</v>
      </c>
    </row>
    <row r="105" spans="1:8" x14ac:dyDescent="0.25">
      <c r="A105" s="132">
        <v>40561</v>
      </c>
      <c r="B105" s="3" t="s">
        <v>367</v>
      </c>
      <c r="C105" s="3" t="s">
        <v>248</v>
      </c>
      <c r="D105" s="3" t="s">
        <v>246</v>
      </c>
      <c r="E105" s="3" t="s">
        <v>396</v>
      </c>
      <c r="F105" s="3">
        <v>50</v>
      </c>
      <c r="G105" s="91">
        <v>1150</v>
      </c>
      <c r="H105" s="91">
        <v>550</v>
      </c>
    </row>
    <row r="106" spans="1:8" x14ac:dyDescent="0.25">
      <c r="A106" s="132">
        <v>40551</v>
      </c>
      <c r="B106" s="3" t="s">
        <v>363</v>
      </c>
      <c r="C106" s="3" t="s">
        <v>362</v>
      </c>
      <c r="D106" s="3" t="s">
        <v>349</v>
      </c>
      <c r="E106" s="3" t="s">
        <v>394</v>
      </c>
      <c r="F106" s="3">
        <v>53</v>
      </c>
      <c r="G106" s="91">
        <v>1007</v>
      </c>
      <c r="H106" s="91">
        <v>424</v>
      </c>
    </row>
    <row r="107" spans="1:8" x14ac:dyDescent="0.25">
      <c r="A107" s="132">
        <v>40553</v>
      </c>
      <c r="B107" s="3" t="s">
        <v>371</v>
      </c>
      <c r="C107" s="3" t="s">
        <v>361</v>
      </c>
      <c r="D107" s="3" t="s">
        <v>349</v>
      </c>
      <c r="E107" s="3" t="s">
        <v>401</v>
      </c>
      <c r="F107" s="3">
        <v>27</v>
      </c>
      <c r="G107" s="91">
        <v>729</v>
      </c>
      <c r="H107" s="91">
        <v>391.5</v>
      </c>
    </row>
    <row r="108" spans="1:8" x14ac:dyDescent="0.25">
      <c r="A108" s="132">
        <v>40548</v>
      </c>
      <c r="B108" s="3" t="s">
        <v>373</v>
      </c>
      <c r="C108" s="3" t="s">
        <v>248</v>
      </c>
      <c r="D108" s="3" t="s">
        <v>382</v>
      </c>
      <c r="E108" s="3" t="s">
        <v>386</v>
      </c>
      <c r="F108" s="3">
        <v>23</v>
      </c>
      <c r="G108" s="91">
        <v>506</v>
      </c>
      <c r="H108" s="91">
        <v>230</v>
      </c>
    </row>
    <row r="109" spans="1:8" x14ac:dyDescent="0.25">
      <c r="A109" s="132">
        <v>40558</v>
      </c>
      <c r="B109" s="3" t="s">
        <v>371</v>
      </c>
      <c r="C109" s="3" t="s">
        <v>247</v>
      </c>
      <c r="D109" s="3" t="s">
        <v>246</v>
      </c>
      <c r="E109" s="3" t="s">
        <v>395</v>
      </c>
      <c r="F109" s="3">
        <v>12</v>
      </c>
      <c r="G109" s="91">
        <v>324</v>
      </c>
      <c r="H109" s="91">
        <v>174</v>
      </c>
    </row>
    <row r="110" spans="1:8" x14ac:dyDescent="0.25">
      <c r="A110" s="132">
        <v>40560</v>
      </c>
      <c r="B110" s="3" t="s">
        <v>371</v>
      </c>
      <c r="C110" s="3" t="s">
        <v>247</v>
      </c>
      <c r="D110" s="3" t="s">
        <v>246</v>
      </c>
      <c r="E110" s="3" t="s">
        <v>389</v>
      </c>
      <c r="F110" s="3">
        <v>50</v>
      </c>
      <c r="G110" s="91">
        <v>1350</v>
      </c>
      <c r="H110" s="91">
        <v>725</v>
      </c>
    </row>
    <row r="111" spans="1:8" x14ac:dyDescent="0.25">
      <c r="A111" s="132">
        <v>40569</v>
      </c>
      <c r="B111" s="3" t="s">
        <v>363</v>
      </c>
      <c r="C111" s="3" t="s">
        <v>361</v>
      </c>
      <c r="D111" s="3" t="s">
        <v>374</v>
      </c>
      <c r="E111" s="3" t="s">
        <v>396</v>
      </c>
      <c r="F111" s="3">
        <v>49</v>
      </c>
      <c r="G111" s="91">
        <v>931</v>
      </c>
      <c r="H111" s="91">
        <v>392</v>
      </c>
    </row>
    <row r="112" spans="1:8" x14ac:dyDescent="0.25">
      <c r="A112" s="132">
        <v>40554</v>
      </c>
      <c r="B112" s="3" t="s">
        <v>369</v>
      </c>
      <c r="C112" s="3" t="s">
        <v>362</v>
      </c>
      <c r="D112" s="3" t="s">
        <v>374</v>
      </c>
      <c r="E112" s="3" t="s">
        <v>389</v>
      </c>
      <c r="F112" s="3">
        <v>17</v>
      </c>
      <c r="G112" s="91">
        <v>357</v>
      </c>
      <c r="H112" s="91">
        <v>157.25</v>
      </c>
    </row>
    <row r="113" spans="1:8" x14ac:dyDescent="0.25">
      <c r="A113" s="132">
        <v>40547</v>
      </c>
      <c r="B113" s="3" t="s">
        <v>371</v>
      </c>
      <c r="C113" s="3" t="s">
        <v>362</v>
      </c>
      <c r="D113" s="3" t="s">
        <v>349</v>
      </c>
      <c r="E113" s="3" t="s">
        <v>376</v>
      </c>
      <c r="F113" s="3">
        <v>12</v>
      </c>
      <c r="G113" s="91">
        <v>324</v>
      </c>
      <c r="H113" s="91">
        <v>174</v>
      </c>
    </row>
    <row r="114" spans="1:8" x14ac:dyDescent="0.25">
      <c r="A114" s="132">
        <v>40564</v>
      </c>
      <c r="B114" s="3" t="s">
        <v>367</v>
      </c>
      <c r="C114" s="3" t="s">
        <v>361</v>
      </c>
      <c r="D114" s="3" t="s">
        <v>246</v>
      </c>
      <c r="E114" s="3" t="s">
        <v>398</v>
      </c>
      <c r="F114" s="3">
        <v>53</v>
      </c>
      <c r="G114" s="91">
        <v>1219</v>
      </c>
      <c r="H114" s="91">
        <v>583</v>
      </c>
    </row>
    <row r="115" spans="1:8" x14ac:dyDescent="0.25">
      <c r="A115" s="132">
        <v>40565</v>
      </c>
      <c r="B115" s="3" t="s">
        <v>369</v>
      </c>
      <c r="C115" s="3" t="s">
        <v>247</v>
      </c>
      <c r="D115" s="3" t="s">
        <v>364</v>
      </c>
      <c r="E115" s="3" t="s">
        <v>391</v>
      </c>
      <c r="F115" s="3">
        <v>41</v>
      </c>
      <c r="G115" s="91">
        <v>861</v>
      </c>
      <c r="H115" s="91">
        <v>379.25</v>
      </c>
    </row>
    <row r="116" spans="1:8" x14ac:dyDescent="0.25">
      <c r="A116" s="132">
        <v>40553</v>
      </c>
      <c r="B116" s="3" t="s">
        <v>363</v>
      </c>
      <c r="C116" s="3" t="s">
        <v>248</v>
      </c>
      <c r="D116" s="3" t="s">
        <v>364</v>
      </c>
      <c r="E116" s="3" t="s">
        <v>368</v>
      </c>
      <c r="F116" s="3">
        <v>8</v>
      </c>
      <c r="G116" s="91">
        <v>152</v>
      </c>
      <c r="H116" s="91">
        <v>64</v>
      </c>
    </row>
    <row r="117" spans="1:8" x14ac:dyDescent="0.25">
      <c r="A117" s="132">
        <v>40555</v>
      </c>
      <c r="B117" s="3" t="s">
        <v>369</v>
      </c>
      <c r="C117" s="3" t="s">
        <v>362</v>
      </c>
      <c r="D117" s="3" t="s">
        <v>364</v>
      </c>
      <c r="E117" s="3" t="s">
        <v>387</v>
      </c>
      <c r="F117" s="3">
        <v>47</v>
      </c>
      <c r="G117" s="91">
        <v>987</v>
      </c>
      <c r="H117" s="91">
        <v>434.75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L89"/>
  <sheetViews>
    <sheetView workbookViewId="0">
      <selection activeCell="C21" sqref="C21"/>
    </sheetView>
  </sheetViews>
  <sheetFormatPr defaultRowHeight="15" x14ac:dyDescent="0.25"/>
  <cols>
    <col min="1" max="1" width="3.5703125" customWidth="1"/>
    <col min="2" max="2" width="21.5703125" customWidth="1"/>
    <col min="3" max="3" width="23.7109375" customWidth="1"/>
    <col min="4" max="4" width="38.7109375" customWidth="1"/>
    <col min="5" max="5" width="6" customWidth="1"/>
    <col min="6" max="7" width="8.7109375" customWidth="1"/>
    <col min="8" max="8" width="9.28515625" customWidth="1"/>
    <col min="9" max="10" width="7.140625" customWidth="1"/>
    <col min="11" max="11" width="2.28515625" customWidth="1"/>
    <col min="16" max="16" width="5.5703125" customWidth="1"/>
    <col min="17" max="17" width="16.140625" bestFit="1" customWidth="1"/>
    <col min="18" max="22" width="16.140625" customWidth="1"/>
  </cols>
  <sheetData>
    <row r="1" spans="1:5" x14ac:dyDescent="0.25">
      <c r="A1" s="5" t="s">
        <v>52</v>
      </c>
      <c r="B1" s="5"/>
      <c r="C1" s="5"/>
      <c r="D1" s="5"/>
    </row>
    <row r="2" spans="1:5" x14ac:dyDescent="0.25">
      <c r="A2" s="39">
        <v>1</v>
      </c>
      <c r="B2" s="17" t="s">
        <v>53</v>
      </c>
      <c r="C2" s="17"/>
      <c r="D2" s="17"/>
      <c r="E2" s="18"/>
    </row>
    <row r="3" spans="1:5" x14ac:dyDescent="0.25">
      <c r="A3" s="40">
        <v>2</v>
      </c>
      <c r="B3" s="20" t="s">
        <v>54</v>
      </c>
      <c r="C3" s="20"/>
      <c r="D3" s="20"/>
      <c r="E3" s="22"/>
    </row>
    <row r="4" spans="1:5" x14ac:dyDescent="0.25">
      <c r="A4" s="41"/>
      <c r="B4" s="42" t="s">
        <v>55</v>
      </c>
      <c r="C4" s="21"/>
      <c r="D4" s="21"/>
      <c r="E4" s="22"/>
    </row>
    <row r="5" spans="1:5" x14ac:dyDescent="0.25">
      <c r="A5" s="41"/>
      <c r="B5" s="42" t="s">
        <v>56</v>
      </c>
      <c r="C5" s="21"/>
      <c r="D5" s="21"/>
      <c r="E5" s="22"/>
    </row>
    <row r="6" spans="1:5" x14ac:dyDescent="0.25">
      <c r="A6" s="41"/>
      <c r="B6" s="42" t="s">
        <v>57</v>
      </c>
      <c r="C6" s="21"/>
      <c r="D6" s="21"/>
      <c r="E6" s="22"/>
    </row>
    <row r="7" spans="1:5" x14ac:dyDescent="0.25">
      <c r="A7" s="41">
        <v>3</v>
      </c>
      <c r="B7" s="21" t="s">
        <v>226</v>
      </c>
      <c r="C7" s="21"/>
      <c r="D7" s="21"/>
      <c r="E7" s="22"/>
    </row>
    <row r="8" spans="1:5" x14ac:dyDescent="0.25">
      <c r="A8" s="41"/>
      <c r="B8" s="42" t="s">
        <v>59</v>
      </c>
      <c r="C8" s="21"/>
      <c r="D8" s="21"/>
      <c r="E8" s="22"/>
    </row>
    <row r="9" spans="1:5" x14ac:dyDescent="0.25">
      <c r="A9" s="41"/>
      <c r="B9" s="42" t="s">
        <v>60</v>
      </c>
      <c r="C9" s="21"/>
      <c r="D9" s="21"/>
      <c r="E9" s="22"/>
    </row>
    <row r="10" spans="1:5" x14ac:dyDescent="0.25">
      <c r="A10" s="41"/>
      <c r="B10" s="42" t="s">
        <v>61</v>
      </c>
      <c r="C10" s="21"/>
      <c r="D10" s="21"/>
      <c r="E10" s="22"/>
    </row>
    <row r="11" spans="1:5" x14ac:dyDescent="0.25">
      <c r="A11" s="41">
        <v>4</v>
      </c>
      <c r="B11" s="21" t="s">
        <v>62</v>
      </c>
      <c r="C11" s="21"/>
      <c r="D11" s="21"/>
      <c r="E11" s="22"/>
    </row>
    <row r="12" spans="1:5" x14ac:dyDescent="0.25">
      <c r="A12" s="41">
        <v>5</v>
      </c>
      <c r="B12" s="21" t="s">
        <v>63</v>
      </c>
      <c r="C12" s="21"/>
      <c r="D12" s="21"/>
      <c r="E12" s="22"/>
    </row>
    <row r="13" spans="1:5" x14ac:dyDescent="0.25">
      <c r="A13" s="41"/>
      <c r="B13" s="42" t="s">
        <v>65</v>
      </c>
      <c r="C13" s="21"/>
      <c r="D13" s="21"/>
      <c r="E13" s="22"/>
    </row>
    <row r="14" spans="1:5" x14ac:dyDescent="0.25">
      <c r="A14" s="41"/>
      <c r="B14" s="42" t="s">
        <v>227</v>
      </c>
      <c r="C14" s="21"/>
      <c r="D14" s="21"/>
      <c r="E14" s="22"/>
    </row>
    <row r="15" spans="1:5" x14ac:dyDescent="0.25">
      <c r="A15" s="41"/>
      <c r="B15" s="42" t="s">
        <v>64</v>
      </c>
      <c r="C15" s="21"/>
      <c r="D15" s="21"/>
      <c r="E15" s="22"/>
    </row>
    <row r="16" spans="1:5" x14ac:dyDescent="0.25">
      <c r="A16" s="41">
        <v>6</v>
      </c>
      <c r="B16" s="21" t="s">
        <v>66</v>
      </c>
      <c r="C16" s="21"/>
      <c r="D16" s="21"/>
      <c r="E16" s="22"/>
    </row>
    <row r="17" spans="1:12" x14ac:dyDescent="0.25">
      <c r="A17" s="41">
        <v>7</v>
      </c>
      <c r="B17" s="21" t="s">
        <v>67</v>
      </c>
      <c r="C17" s="21"/>
      <c r="D17" s="21"/>
      <c r="E17" s="22"/>
    </row>
    <row r="18" spans="1:12" x14ac:dyDescent="0.25">
      <c r="A18" s="41">
        <v>8</v>
      </c>
      <c r="B18" s="21" t="s">
        <v>237</v>
      </c>
      <c r="C18" s="21"/>
      <c r="D18" s="21"/>
      <c r="E18" s="22"/>
    </row>
    <row r="19" spans="1:12" x14ac:dyDescent="0.25">
      <c r="A19" s="24">
        <v>9</v>
      </c>
      <c r="B19" s="25" t="s">
        <v>239</v>
      </c>
      <c r="C19" s="25"/>
      <c r="D19" s="25"/>
      <c r="E19" s="26"/>
    </row>
    <row r="21" spans="1:12" x14ac:dyDescent="0.25">
      <c r="B21" s="5" t="s">
        <v>229</v>
      </c>
    </row>
    <row r="22" spans="1:12" x14ac:dyDescent="0.25">
      <c r="B22" t="s">
        <v>230</v>
      </c>
    </row>
    <row r="23" spans="1:12" x14ac:dyDescent="0.25">
      <c r="B23" t="s">
        <v>690</v>
      </c>
    </row>
    <row r="25" spans="1:12" x14ac:dyDescent="0.25">
      <c r="B25" t="s">
        <v>218</v>
      </c>
      <c r="C25" s="64"/>
      <c r="D25" t="str">
        <f ca="1">IF(_xlfn.ISFORMULA(C25)," "&amp;_xlfn.FORMULATEXT(C25),"")</f>
        <v/>
      </c>
      <c r="F25" s="1" t="s">
        <v>220</v>
      </c>
      <c r="G25" s="1" t="s">
        <v>221</v>
      </c>
      <c r="H25" s="1" t="s">
        <v>231</v>
      </c>
      <c r="L25" t="s">
        <v>454</v>
      </c>
    </row>
    <row r="26" spans="1:12" x14ac:dyDescent="0.25">
      <c r="B26" t="s">
        <v>232</v>
      </c>
      <c r="C26" s="64"/>
      <c r="D26" t="str">
        <f t="shared" ref="D26:D33" ca="1" si="0">IF(_xlfn.ISFORMULA(C26)," "&amp;_xlfn.FORMULATEXT(C26),"")</f>
        <v/>
      </c>
      <c r="F26" s="92">
        <v>12</v>
      </c>
      <c r="G26" s="92">
        <v>20</v>
      </c>
      <c r="H26" s="92">
        <v>19</v>
      </c>
      <c r="L26" t="s">
        <v>455</v>
      </c>
    </row>
    <row r="27" spans="1:12" x14ac:dyDescent="0.25">
      <c r="B27" t="s">
        <v>219</v>
      </c>
      <c r="C27" s="64"/>
      <c r="D27" t="str">
        <f t="shared" ca="1" si="0"/>
        <v/>
      </c>
      <c r="F27" s="92">
        <v>16</v>
      </c>
      <c r="G27" s="92">
        <v>25</v>
      </c>
      <c r="H27" s="92">
        <v>15</v>
      </c>
      <c r="L27" t="s">
        <v>456</v>
      </c>
    </row>
    <row r="28" spans="1:12" x14ac:dyDescent="0.25">
      <c r="B28" s="2" t="s">
        <v>222</v>
      </c>
      <c r="C28" s="64"/>
      <c r="D28" t="str">
        <f t="shared" ca="1" si="0"/>
        <v/>
      </c>
      <c r="F28" s="92">
        <v>21</v>
      </c>
      <c r="G28" s="92">
        <v>27</v>
      </c>
      <c r="H28" s="92">
        <v>40</v>
      </c>
      <c r="L28" t="s">
        <v>457</v>
      </c>
    </row>
    <row r="29" spans="1:12" x14ac:dyDescent="0.25">
      <c r="B29" t="s">
        <v>222</v>
      </c>
      <c r="C29" s="64"/>
      <c r="D29" t="str">
        <f t="shared" ca="1" si="0"/>
        <v/>
      </c>
      <c r="F29" s="92">
        <v>16</v>
      </c>
      <c r="G29" s="92">
        <v>25</v>
      </c>
      <c r="H29" s="92">
        <v>6</v>
      </c>
      <c r="L29" t="s">
        <v>458</v>
      </c>
    </row>
    <row r="30" spans="1:12" x14ac:dyDescent="0.25">
      <c r="B30" t="s">
        <v>228</v>
      </c>
      <c r="C30" s="64"/>
      <c r="D30" t="str">
        <f t="shared" ca="1" si="0"/>
        <v/>
      </c>
      <c r="L30" t="s">
        <v>459</v>
      </c>
    </row>
    <row r="31" spans="1:12" x14ac:dyDescent="0.25">
      <c r="B31" t="s">
        <v>233</v>
      </c>
      <c r="C31" s="64"/>
      <c r="D31" t="str">
        <f t="shared" ca="1" si="0"/>
        <v/>
      </c>
      <c r="L31" t="s">
        <v>460</v>
      </c>
    </row>
    <row r="32" spans="1:12" ht="30" x14ac:dyDescent="0.25">
      <c r="B32" t="s">
        <v>236</v>
      </c>
      <c r="C32" s="64"/>
      <c r="D32" t="str">
        <f t="shared" ca="1" si="0"/>
        <v/>
      </c>
      <c r="F32" s="1" t="s">
        <v>234</v>
      </c>
      <c r="G32" s="1" t="s">
        <v>235</v>
      </c>
      <c r="H32" s="52" t="s">
        <v>255</v>
      </c>
      <c r="L32" t="s">
        <v>461</v>
      </c>
    </row>
    <row r="33" spans="2:12" x14ac:dyDescent="0.25">
      <c r="B33" t="s">
        <v>238</v>
      </c>
      <c r="C33" s="64"/>
      <c r="D33" t="str">
        <f t="shared" ca="1" si="0"/>
        <v/>
      </c>
      <c r="F33" s="93">
        <v>41545</v>
      </c>
      <c r="G33" s="93">
        <v>41548</v>
      </c>
      <c r="H33" s="92">
        <v>6</v>
      </c>
      <c r="L33" t="s">
        <v>462</v>
      </c>
    </row>
    <row r="71" spans="2:5" x14ac:dyDescent="0.25">
      <c r="B71" s="1" t="s">
        <v>240</v>
      </c>
      <c r="C71" s="64">
        <f>(SUM(F27:H27 G26:G29,-H29,COUNTIF(F26:F29,"&gt;="&amp;I33))*94%)*2^3+6/-4</f>
        <v>141.38</v>
      </c>
    </row>
    <row r="73" spans="2:5" x14ac:dyDescent="0.25">
      <c r="B73" s="1" t="s">
        <v>254</v>
      </c>
      <c r="C73" s="64">
        <f>SUMPRODUCT(--((0&lt;(B80:B89=C77)+(B80:B89=D77))*(C80:C89=B77)))</f>
        <v>3</v>
      </c>
    </row>
    <row r="74" spans="2:5" x14ac:dyDescent="0.25">
      <c r="B74" s="1" t="s">
        <v>254</v>
      </c>
      <c r="C74" s="64">
        <f>SUMPRODUCT(--ISNUMBER(MATCH(B80:B89,C77:D77,0)),--(C80:C89=B77))</f>
        <v>3</v>
      </c>
    </row>
    <row r="76" spans="2:5" x14ac:dyDescent="0.25">
      <c r="B76" s="66" t="s">
        <v>242</v>
      </c>
      <c r="C76" s="66" t="s">
        <v>252</v>
      </c>
      <c r="D76" s="66" t="s">
        <v>253</v>
      </c>
    </row>
    <row r="77" spans="2:5" x14ac:dyDescent="0.25">
      <c r="B77" s="3" t="s">
        <v>247</v>
      </c>
      <c r="C77" s="3" t="s">
        <v>245</v>
      </c>
      <c r="D77" s="3" t="s">
        <v>244</v>
      </c>
    </row>
    <row r="79" spans="2:5" x14ac:dyDescent="0.25">
      <c r="B79" s="1" t="s">
        <v>128</v>
      </c>
      <c r="C79" s="1" t="s">
        <v>242</v>
      </c>
      <c r="D79" s="1" t="s">
        <v>243</v>
      </c>
      <c r="E79" s="1" t="s">
        <v>251</v>
      </c>
    </row>
    <row r="80" spans="2:5" x14ac:dyDescent="0.25">
      <c r="B80" s="3" t="s">
        <v>244</v>
      </c>
      <c r="C80" s="3" t="s">
        <v>247</v>
      </c>
      <c r="D80" s="3" t="s">
        <v>249</v>
      </c>
      <c r="E80" s="3">
        <v>6</v>
      </c>
    </row>
    <row r="81" spans="2:5" x14ac:dyDescent="0.25">
      <c r="B81" s="3" t="s">
        <v>245</v>
      </c>
      <c r="C81" s="3" t="s">
        <v>248</v>
      </c>
      <c r="D81" s="3" t="s">
        <v>250</v>
      </c>
      <c r="E81" s="3">
        <v>2</v>
      </c>
    </row>
    <row r="82" spans="2:5" x14ac:dyDescent="0.25">
      <c r="B82" s="3" t="s">
        <v>246</v>
      </c>
      <c r="C82" s="3" t="s">
        <v>247</v>
      </c>
      <c r="D82" s="3" t="s">
        <v>250</v>
      </c>
      <c r="E82" s="3">
        <v>8</v>
      </c>
    </row>
    <row r="83" spans="2:5" x14ac:dyDescent="0.25">
      <c r="B83" s="3" t="s">
        <v>244</v>
      </c>
      <c r="C83" s="3" t="s">
        <v>247</v>
      </c>
      <c r="D83" s="3" t="s">
        <v>249</v>
      </c>
      <c r="E83" s="3">
        <v>10</v>
      </c>
    </row>
    <row r="84" spans="2:5" x14ac:dyDescent="0.25">
      <c r="B84" s="3" t="s">
        <v>245</v>
      </c>
      <c r="C84" s="3" t="s">
        <v>248</v>
      </c>
      <c r="D84" s="3" t="s">
        <v>250</v>
      </c>
      <c r="E84" s="3">
        <v>10</v>
      </c>
    </row>
    <row r="85" spans="2:5" x14ac:dyDescent="0.25">
      <c r="B85" s="3" t="s">
        <v>245</v>
      </c>
      <c r="C85" s="3" t="s">
        <v>248</v>
      </c>
      <c r="D85" s="3" t="s">
        <v>250</v>
      </c>
      <c r="E85" s="3">
        <v>4</v>
      </c>
    </row>
    <row r="86" spans="2:5" x14ac:dyDescent="0.25">
      <c r="B86" s="3" t="s">
        <v>246</v>
      </c>
      <c r="C86" s="3" t="s">
        <v>247</v>
      </c>
      <c r="D86" s="3" t="s">
        <v>249</v>
      </c>
      <c r="E86" s="3">
        <v>8</v>
      </c>
    </row>
    <row r="87" spans="2:5" x14ac:dyDescent="0.25">
      <c r="B87" s="3" t="s">
        <v>246</v>
      </c>
      <c r="C87" s="3" t="s">
        <v>248</v>
      </c>
      <c r="D87" s="3" t="s">
        <v>249</v>
      </c>
      <c r="E87" s="3">
        <v>10</v>
      </c>
    </row>
    <row r="88" spans="2:5" x14ac:dyDescent="0.25">
      <c r="B88" s="3" t="s">
        <v>244</v>
      </c>
      <c r="C88" s="3" t="s">
        <v>248</v>
      </c>
      <c r="D88" s="3" t="s">
        <v>249</v>
      </c>
      <c r="E88" s="3">
        <v>6</v>
      </c>
    </row>
    <row r="89" spans="2:5" x14ac:dyDescent="0.25">
      <c r="B89" s="3" t="s">
        <v>245</v>
      </c>
      <c r="C89" s="3" t="s">
        <v>247</v>
      </c>
      <c r="D89" s="3" t="s">
        <v>250</v>
      </c>
      <c r="E89" s="3">
        <v>10</v>
      </c>
    </row>
  </sheetData>
  <pageMargins left="0.7" right="0.7" top="0.75" bottom="0.75" header="0.3" footer="0.3"/>
  <pageSetup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17"/>
  <sheetViews>
    <sheetView topLeftCell="A41" workbookViewId="0">
      <selection activeCell="C21" sqref="C21"/>
    </sheetView>
  </sheetViews>
  <sheetFormatPr defaultColWidth="10.28515625" defaultRowHeight="15" x14ac:dyDescent="0.25"/>
  <cols>
    <col min="1" max="1" width="13" customWidth="1"/>
    <col min="2" max="2" width="13.85546875" bestFit="1" customWidth="1"/>
    <col min="3" max="3" width="12.28515625" bestFit="1" customWidth="1"/>
    <col min="4" max="4" width="13.85546875" bestFit="1" customWidth="1"/>
    <col min="11" max="11" width="11.42578125" customWidth="1"/>
    <col min="12" max="12" width="12.5703125" bestFit="1" customWidth="1"/>
  </cols>
  <sheetData>
    <row r="1" spans="1:12" ht="90" x14ac:dyDescent="0.25">
      <c r="A1" s="155" t="s">
        <v>558</v>
      </c>
      <c r="B1" s="155"/>
      <c r="C1" s="155"/>
      <c r="D1" s="155"/>
    </row>
    <row r="3" spans="1:12" x14ac:dyDescent="0.25">
      <c r="A3" s="110" t="s">
        <v>243</v>
      </c>
      <c r="B3" s="110" t="s">
        <v>559</v>
      </c>
      <c r="K3" t="s">
        <v>243</v>
      </c>
      <c r="L3" t="s">
        <v>560</v>
      </c>
    </row>
    <row r="4" spans="1:12" x14ac:dyDescent="0.25">
      <c r="A4" s="3" t="s">
        <v>373</v>
      </c>
      <c r="B4" s="53">
        <f>SUMIFS(H$13:H$117,B$13:B$117,A4)</f>
        <v>5160</v>
      </c>
      <c r="K4" t="s">
        <v>373</v>
      </c>
      <c r="L4" s="184">
        <v>5160</v>
      </c>
    </row>
    <row r="5" spans="1:12" x14ac:dyDescent="0.25">
      <c r="A5" s="3" t="s">
        <v>367</v>
      </c>
      <c r="B5" s="53">
        <f>SUMIFS(H$13:H$117,B$13:B$117,A5)</f>
        <v>9504</v>
      </c>
      <c r="K5" t="s">
        <v>367</v>
      </c>
      <c r="L5" s="184">
        <v>9504</v>
      </c>
    </row>
    <row r="6" spans="1:12" x14ac:dyDescent="0.25">
      <c r="A6" s="3" t="s">
        <v>371</v>
      </c>
      <c r="B6" s="53">
        <f>SUMIFS(H$13:H$117,B$13:B$117,A6)</f>
        <v>11861</v>
      </c>
      <c r="K6" t="s">
        <v>371</v>
      </c>
      <c r="L6" s="184">
        <v>11861</v>
      </c>
    </row>
    <row r="7" spans="1:12" x14ac:dyDescent="0.25">
      <c r="A7" s="3" t="s">
        <v>369</v>
      </c>
      <c r="B7" s="53">
        <f>SUMIFS(H$13:H$117,B$13:B$117,A7)</f>
        <v>5365</v>
      </c>
      <c r="K7" t="s">
        <v>369</v>
      </c>
      <c r="L7" s="184">
        <v>5365</v>
      </c>
    </row>
    <row r="8" spans="1:12" x14ac:dyDescent="0.25">
      <c r="A8" s="3" t="s">
        <v>363</v>
      </c>
      <c r="B8" s="53">
        <f>SUMIFS(H$13:H$117,B$13:B$117,A8)</f>
        <v>6936</v>
      </c>
      <c r="K8" t="s">
        <v>363</v>
      </c>
      <c r="L8" s="184">
        <v>6936</v>
      </c>
    </row>
    <row r="9" spans="1:12" x14ac:dyDescent="0.25">
      <c r="A9" s="179" t="s">
        <v>404</v>
      </c>
      <c r="B9" s="53">
        <f>SUM(B4:B8)</f>
        <v>38826</v>
      </c>
      <c r="K9" t="s">
        <v>561</v>
      </c>
      <c r="L9" s="184">
        <v>38826</v>
      </c>
    </row>
    <row r="12" spans="1:12" x14ac:dyDescent="0.25">
      <c r="A12" s="110" t="s">
        <v>103</v>
      </c>
      <c r="B12" s="110" t="s">
        <v>243</v>
      </c>
      <c r="C12" s="110" t="s">
        <v>242</v>
      </c>
      <c r="D12" s="110" t="s">
        <v>104</v>
      </c>
      <c r="E12" s="110" t="s">
        <v>359</v>
      </c>
      <c r="F12" s="110" t="s">
        <v>251</v>
      </c>
      <c r="G12" s="110" t="s">
        <v>105</v>
      </c>
      <c r="H12" s="110" t="s">
        <v>202</v>
      </c>
    </row>
    <row r="13" spans="1:12" x14ac:dyDescent="0.25">
      <c r="A13" s="132">
        <v>40556</v>
      </c>
      <c r="B13" s="3" t="s">
        <v>363</v>
      </c>
      <c r="C13" s="3" t="s">
        <v>248</v>
      </c>
      <c r="D13" s="3" t="s">
        <v>364</v>
      </c>
      <c r="E13" s="3" t="s">
        <v>365</v>
      </c>
      <c r="F13" s="3">
        <v>58</v>
      </c>
      <c r="G13" s="91">
        <v>1102</v>
      </c>
      <c r="H13" s="91">
        <v>464</v>
      </c>
    </row>
    <row r="14" spans="1:12" x14ac:dyDescent="0.25">
      <c r="A14" s="132">
        <v>40558</v>
      </c>
      <c r="B14" s="3" t="s">
        <v>363</v>
      </c>
      <c r="C14" s="3" t="s">
        <v>361</v>
      </c>
      <c r="D14" s="3" t="s">
        <v>349</v>
      </c>
      <c r="E14" s="3" t="s">
        <v>366</v>
      </c>
      <c r="F14" s="3">
        <v>17</v>
      </c>
      <c r="G14" s="91">
        <v>323</v>
      </c>
      <c r="H14" s="91">
        <v>136</v>
      </c>
    </row>
    <row r="15" spans="1:12" x14ac:dyDescent="0.25">
      <c r="A15" s="132">
        <v>40568</v>
      </c>
      <c r="B15" s="3" t="s">
        <v>363</v>
      </c>
      <c r="C15" s="3" t="s">
        <v>247</v>
      </c>
      <c r="D15" s="3" t="s">
        <v>364</v>
      </c>
      <c r="E15" s="3" t="s">
        <v>368</v>
      </c>
      <c r="F15" s="3">
        <v>59</v>
      </c>
      <c r="G15" s="91">
        <v>1121</v>
      </c>
      <c r="H15" s="91">
        <v>472</v>
      </c>
    </row>
    <row r="16" spans="1:12" x14ac:dyDescent="0.25">
      <c r="A16" s="132">
        <v>40546</v>
      </c>
      <c r="B16" s="3" t="s">
        <v>367</v>
      </c>
      <c r="C16" s="3" t="s">
        <v>361</v>
      </c>
      <c r="D16" s="3" t="s">
        <v>246</v>
      </c>
      <c r="E16" s="3" t="s">
        <v>370</v>
      </c>
      <c r="F16" s="3">
        <v>55</v>
      </c>
      <c r="G16" s="91">
        <v>1265</v>
      </c>
      <c r="H16" s="91">
        <v>605</v>
      </c>
    </row>
    <row r="17" spans="1:8" x14ac:dyDescent="0.25">
      <c r="A17" s="132">
        <v>40570</v>
      </c>
      <c r="B17" s="3" t="s">
        <v>369</v>
      </c>
      <c r="C17" s="3" t="s">
        <v>361</v>
      </c>
      <c r="D17" s="3" t="s">
        <v>364</v>
      </c>
      <c r="E17" s="3" t="s">
        <v>372</v>
      </c>
      <c r="F17" s="3">
        <v>44</v>
      </c>
      <c r="G17" s="91">
        <v>924</v>
      </c>
      <c r="H17" s="91">
        <v>407</v>
      </c>
    </row>
    <row r="18" spans="1:8" x14ac:dyDescent="0.25">
      <c r="A18" s="132">
        <v>40557</v>
      </c>
      <c r="B18" s="3" t="s">
        <v>371</v>
      </c>
      <c r="C18" s="3" t="s">
        <v>361</v>
      </c>
      <c r="D18" s="3" t="s">
        <v>374</v>
      </c>
      <c r="E18" s="3" t="s">
        <v>375</v>
      </c>
      <c r="F18" s="3">
        <v>61</v>
      </c>
      <c r="G18" s="91">
        <v>1647</v>
      </c>
      <c r="H18" s="91">
        <v>884.5</v>
      </c>
    </row>
    <row r="19" spans="1:8" x14ac:dyDescent="0.25">
      <c r="A19" s="132">
        <v>40551</v>
      </c>
      <c r="B19" s="3" t="s">
        <v>371</v>
      </c>
      <c r="C19" s="3" t="s">
        <v>361</v>
      </c>
      <c r="D19" s="3" t="s">
        <v>364</v>
      </c>
      <c r="E19" s="3" t="s">
        <v>376</v>
      </c>
      <c r="F19" s="3">
        <v>50</v>
      </c>
      <c r="G19" s="91">
        <v>1350</v>
      </c>
      <c r="H19" s="91">
        <v>725</v>
      </c>
    </row>
    <row r="20" spans="1:8" x14ac:dyDescent="0.25">
      <c r="A20" s="132">
        <v>40559</v>
      </c>
      <c r="B20" s="3" t="s">
        <v>371</v>
      </c>
      <c r="C20" s="3" t="s">
        <v>248</v>
      </c>
      <c r="D20" s="3" t="s">
        <v>377</v>
      </c>
      <c r="E20" s="3" t="s">
        <v>378</v>
      </c>
      <c r="F20" s="3">
        <v>59</v>
      </c>
      <c r="G20" s="91">
        <v>1593</v>
      </c>
      <c r="H20" s="91">
        <v>855.5</v>
      </c>
    </row>
    <row r="21" spans="1:8" x14ac:dyDescent="0.25">
      <c r="A21" s="132">
        <v>40550</v>
      </c>
      <c r="B21" s="3" t="s">
        <v>371</v>
      </c>
      <c r="C21" s="3" t="s">
        <v>248</v>
      </c>
      <c r="D21" s="3" t="s">
        <v>349</v>
      </c>
      <c r="E21" s="3" t="s">
        <v>379</v>
      </c>
      <c r="F21" s="3">
        <v>36</v>
      </c>
      <c r="G21" s="91">
        <v>972</v>
      </c>
      <c r="H21" s="91">
        <v>522</v>
      </c>
    </row>
    <row r="22" spans="1:8" x14ac:dyDescent="0.25">
      <c r="A22" s="132">
        <v>40558</v>
      </c>
      <c r="B22" s="3" t="s">
        <v>369</v>
      </c>
      <c r="C22" s="3" t="s">
        <v>248</v>
      </c>
      <c r="D22" s="3" t="s">
        <v>246</v>
      </c>
      <c r="E22" s="3" t="s">
        <v>370</v>
      </c>
      <c r="F22" s="3">
        <v>14</v>
      </c>
      <c r="G22" s="91">
        <v>294</v>
      </c>
      <c r="H22" s="91">
        <v>129.5</v>
      </c>
    </row>
    <row r="23" spans="1:8" x14ac:dyDescent="0.25">
      <c r="A23" s="132">
        <v>40563</v>
      </c>
      <c r="B23" s="3" t="s">
        <v>371</v>
      </c>
      <c r="C23" s="3" t="s">
        <v>362</v>
      </c>
      <c r="D23" s="3" t="s">
        <v>377</v>
      </c>
      <c r="E23" s="3" t="s">
        <v>380</v>
      </c>
      <c r="F23" s="3">
        <v>38</v>
      </c>
      <c r="G23" s="91">
        <v>1026</v>
      </c>
      <c r="H23" s="91">
        <v>551</v>
      </c>
    </row>
    <row r="24" spans="1:8" x14ac:dyDescent="0.25">
      <c r="A24" s="132">
        <v>40570</v>
      </c>
      <c r="B24" s="3" t="s">
        <v>367</v>
      </c>
      <c r="C24" s="3" t="s">
        <v>361</v>
      </c>
      <c r="D24" s="3" t="s">
        <v>349</v>
      </c>
      <c r="E24" s="3" t="s">
        <v>381</v>
      </c>
      <c r="F24" s="3">
        <v>63</v>
      </c>
      <c r="G24" s="91">
        <v>1449</v>
      </c>
      <c r="H24" s="91">
        <v>693</v>
      </c>
    </row>
    <row r="25" spans="1:8" x14ac:dyDescent="0.25">
      <c r="A25" s="132">
        <v>40551</v>
      </c>
      <c r="B25" s="3" t="s">
        <v>363</v>
      </c>
      <c r="C25" s="3" t="s">
        <v>248</v>
      </c>
      <c r="D25" s="3" t="s">
        <v>382</v>
      </c>
      <c r="E25" s="3" t="s">
        <v>383</v>
      </c>
      <c r="F25" s="3">
        <v>9</v>
      </c>
      <c r="G25" s="91">
        <v>171</v>
      </c>
      <c r="H25" s="91">
        <v>72</v>
      </c>
    </row>
    <row r="26" spans="1:8" x14ac:dyDescent="0.25">
      <c r="A26" s="132">
        <v>40563</v>
      </c>
      <c r="B26" s="3" t="s">
        <v>367</v>
      </c>
      <c r="C26" s="3" t="s">
        <v>361</v>
      </c>
      <c r="D26" s="3" t="s">
        <v>246</v>
      </c>
      <c r="E26" s="3" t="s">
        <v>380</v>
      </c>
      <c r="F26" s="3">
        <v>65</v>
      </c>
      <c r="G26" s="91">
        <v>1495</v>
      </c>
      <c r="H26" s="91">
        <v>715</v>
      </c>
    </row>
    <row r="27" spans="1:8" x14ac:dyDescent="0.25">
      <c r="A27" s="132">
        <v>40548</v>
      </c>
      <c r="B27" s="3" t="s">
        <v>371</v>
      </c>
      <c r="C27" s="3" t="s">
        <v>248</v>
      </c>
      <c r="D27" s="3" t="s">
        <v>377</v>
      </c>
      <c r="E27" s="3" t="s">
        <v>384</v>
      </c>
      <c r="F27" s="3">
        <v>35</v>
      </c>
      <c r="G27" s="91">
        <v>945</v>
      </c>
      <c r="H27" s="91">
        <v>507.5</v>
      </c>
    </row>
    <row r="28" spans="1:8" x14ac:dyDescent="0.25">
      <c r="A28" s="132">
        <v>40555</v>
      </c>
      <c r="B28" s="3" t="s">
        <v>363</v>
      </c>
      <c r="C28" s="3" t="s">
        <v>247</v>
      </c>
      <c r="D28" s="3" t="s">
        <v>246</v>
      </c>
      <c r="E28" s="3" t="s">
        <v>379</v>
      </c>
      <c r="F28" s="3">
        <v>37</v>
      </c>
      <c r="G28" s="91">
        <v>703</v>
      </c>
      <c r="H28" s="91">
        <v>296</v>
      </c>
    </row>
    <row r="29" spans="1:8" x14ac:dyDescent="0.25">
      <c r="A29" s="132">
        <v>40547</v>
      </c>
      <c r="B29" s="3" t="s">
        <v>363</v>
      </c>
      <c r="C29" s="3" t="s">
        <v>248</v>
      </c>
      <c r="D29" s="3" t="s">
        <v>377</v>
      </c>
      <c r="E29" s="3" t="s">
        <v>385</v>
      </c>
      <c r="F29" s="3">
        <v>55</v>
      </c>
      <c r="G29" s="91">
        <v>1045</v>
      </c>
      <c r="H29" s="91">
        <v>440</v>
      </c>
    </row>
    <row r="30" spans="1:8" x14ac:dyDescent="0.25">
      <c r="A30" s="132">
        <v>40571</v>
      </c>
      <c r="B30" s="3" t="s">
        <v>363</v>
      </c>
      <c r="C30" s="3" t="s">
        <v>362</v>
      </c>
      <c r="D30" s="3" t="s">
        <v>374</v>
      </c>
      <c r="E30" s="3" t="s">
        <v>365</v>
      </c>
      <c r="F30" s="3">
        <v>33</v>
      </c>
      <c r="G30" s="91">
        <v>627</v>
      </c>
      <c r="H30" s="91">
        <v>264</v>
      </c>
    </row>
    <row r="31" spans="1:8" x14ac:dyDescent="0.25">
      <c r="A31" s="132">
        <v>40547</v>
      </c>
      <c r="B31" s="3" t="s">
        <v>367</v>
      </c>
      <c r="C31" s="3" t="s">
        <v>248</v>
      </c>
      <c r="D31" s="3" t="s">
        <v>246</v>
      </c>
      <c r="E31" s="3" t="s">
        <v>386</v>
      </c>
      <c r="F31" s="3">
        <v>28</v>
      </c>
      <c r="G31" s="91">
        <v>644</v>
      </c>
      <c r="H31" s="91">
        <v>308</v>
      </c>
    </row>
    <row r="32" spans="1:8" x14ac:dyDescent="0.25">
      <c r="A32" s="132">
        <v>40561</v>
      </c>
      <c r="B32" s="3" t="s">
        <v>371</v>
      </c>
      <c r="C32" s="3" t="s">
        <v>248</v>
      </c>
      <c r="D32" s="3" t="s">
        <v>349</v>
      </c>
      <c r="E32" s="3" t="s">
        <v>372</v>
      </c>
      <c r="F32" s="3">
        <v>10</v>
      </c>
      <c r="G32" s="91">
        <v>270</v>
      </c>
      <c r="H32" s="91">
        <v>145</v>
      </c>
    </row>
    <row r="33" spans="1:8" x14ac:dyDescent="0.25">
      <c r="A33" s="132">
        <v>40564</v>
      </c>
      <c r="B33" s="3" t="s">
        <v>373</v>
      </c>
      <c r="C33" s="3" t="s">
        <v>248</v>
      </c>
      <c r="D33" s="3" t="s">
        <v>246</v>
      </c>
      <c r="E33" s="3" t="s">
        <v>387</v>
      </c>
      <c r="F33" s="3">
        <v>30</v>
      </c>
      <c r="G33" s="91">
        <v>660</v>
      </c>
      <c r="H33" s="91">
        <v>300</v>
      </c>
    </row>
    <row r="34" spans="1:8" x14ac:dyDescent="0.25">
      <c r="A34" s="132">
        <v>40544</v>
      </c>
      <c r="B34" s="3" t="s">
        <v>363</v>
      </c>
      <c r="C34" s="3" t="s">
        <v>247</v>
      </c>
      <c r="D34" s="3" t="s">
        <v>377</v>
      </c>
      <c r="E34" s="3" t="s">
        <v>375</v>
      </c>
      <c r="F34" s="3">
        <v>26</v>
      </c>
      <c r="G34" s="91">
        <v>494</v>
      </c>
      <c r="H34" s="91">
        <v>208</v>
      </c>
    </row>
    <row r="35" spans="1:8" x14ac:dyDescent="0.25">
      <c r="A35" s="132">
        <v>40566</v>
      </c>
      <c r="B35" s="3" t="s">
        <v>369</v>
      </c>
      <c r="C35" s="3" t="s">
        <v>248</v>
      </c>
      <c r="D35" s="3" t="s">
        <v>246</v>
      </c>
      <c r="E35" s="3" t="s">
        <v>388</v>
      </c>
      <c r="F35" s="3">
        <v>6</v>
      </c>
      <c r="G35" s="91">
        <v>126</v>
      </c>
      <c r="H35" s="91">
        <v>55.5</v>
      </c>
    </row>
    <row r="36" spans="1:8" x14ac:dyDescent="0.25">
      <c r="A36" s="132">
        <v>40568</v>
      </c>
      <c r="B36" s="3" t="s">
        <v>371</v>
      </c>
      <c r="C36" s="3" t="s">
        <v>361</v>
      </c>
      <c r="D36" s="3" t="s">
        <v>364</v>
      </c>
      <c r="E36" s="3" t="s">
        <v>379</v>
      </c>
      <c r="F36" s="3">
        <v>41</v>
      </c>
      <c r="G36" s="91">
        <v>1107</v>
      </c>
      <c r="H36" s="91">
        <v>594.5</v>
      </c>
    </row>
    <row r="37" spans="1:8" x14ac:dyDescent="0.25">
      <c r="A37" s="132">
        <v>40562</v>
      </c>
      <c r="B37" s="3" t="s">
        <v>371</v>
      </c>
      <c r="C37" s="3" t="s">
        <v>247</v>
      </c>
      <c r="D37" s="3" t="s">
        <v>374</v>
      </c>
      <c r="E37" s="3" t="s">
        <v>389</v>
      </c>
      <c r="F37" s="3">
        <v>26</v>
      </c>
      <c r="G37" s="91">
        <v>702</v>
      </c>
      <c r="H37" s="91">
        <v>377</v>
      </c>
    </row>
    <row r="38" spans="1:8" x14ac:dyDescent="0.25">
      <c r="A38" s="132">
        <v>40572</v>
      </c>
      <c r="B38" s="3" t="s">
        <v>363</v>
      </c>
      <c r="C38" s="3" t="s">
        <v>361</v>
      </c>
      <c r="D38" s="3" t="s">
        <v>382</v>
      </c>
      <c r="E38" s="3" t="s">
        <v>385</v>
      </c>
      <c r="F38" s="3">
        <v>45</v>
      </c>
      <c r="G38" s="91">
        <v>855</v>
      </c>
      <c r="H38" s="91">
        <v>360</v>
      </c>
    </row>
    <row r="39" spans="1:8" x14ac:dyDescent="0.25">
      <c r="A39" s="132">
        <v>40572</v>
      </c>
      <c r="B39" s="3" t="s">
        <v>369</v>
      </c>
      <c r="C39" s="3" t="s">
        <v>362</v>
      </c>
      <c r="D39" s="3" t="s">
        <v>382</v>
      </c>
      <c r="E39" s="3" t="s">
        <v>390</v>
      </c>
      <c r="F39" s="3">
        <v>15</v>
      </c>
      <c r="G39" s="91">
        <v>315</v>
      </c>
      <c r="H39" s="91">
        <v>138.75</v>
      </c>
    </row>
    <row r="40" spans="1:8" x14ac:dyDescent="0.25">
      <c r="A40" s="132">
        <v>40565</v>
      </c>
      <c r="B40" s="3" t="s">
        <v>367</v>
      </c>
      <c r="C40" s="3" t="s">
        <v>247</v>
      </c>
      <c r="D40" s="3" t="s">
        <v>246</v>
      </c>
      <c r="E40" s="3" t="s">
        <v>365</v>
      </c>
      <c r="F40" s="3">
        <v>65</v>
      </c>
      <c r="G40" s="91">
        <v>1495</v>
      </c>
      <c r="H40" s="91">
        <v>715</v>
      </c>
    </row>
    <row r="41" spans="1:8" x14ac:dyDescent="0.25">
      <c r="A41" s="132">
        <v>40573</v>
      </c>
      <c r="B41" s="3" t="s">
        <v>371</v>
      </c>
      <c r="C41" s="3" t="s">
        <v>248</v>
      </c>
      <c r="D41" s="3" t="s">
        <v>364</v>
      </c>
      <c r="E41" s="3" t="s">
        <v>389</v>
      </c>
      <c r="F41" s="3">
        <v>14</v>
      </c>
      <c r="G41" s="91">
        <v>378</v>
      </c>
      <c r="H41" s="91">
        <v>203</v>
      </c>
    </row>
    <row r="42" spans="1:8" x14ac:dyDescent="0.25">
      <c r="A42" s="132">
        <v>40561</v>
      </c>
      <c r="B42" s="3" t="s">
        <v>373</v>
      </c>
      <c r="C42" s="3" t="s">
        <v>247</v>
      </c>
      <c r="D42" s="3" t="s">
        <v>246</v>
      </c>
      <c r="E42" s="3" t="s">
        <v>366</v>
      </c>
      <c r="F42" s="3">
        <v>56</v>
      </c>
      <c r="G42" s="91">
        <v>1232</v>
      </c>
      <c r="H42" s="91">
        <v>560</v>
      </c>
    </row>
    <row r="43" spans="1:8" x14ac:dyDescent="0.25">
      <c r="A43" s="132">
        <v>40544</v>
      </c>
      <c r="B43" s="3" t="s">
        <v>363</v>
      </c>
      <c r="C43" s="3" t="s">
        <v>247</v>
      </c>
      <c r="D43" s="3" t="s">
        <v>364</v>
      </c>
      <c r="E43" s="3" t="s">
        <v>378</v>
      </c>
      <c r="F43" s="3">
        <v>11</v>
      </c>
      <c r="G43" s="91">
        <v>209</v>
      </c>
      <c r="H43" s="91">
        <v>88</v>
      </c>
    </row>
    <row r="44" spans="1:8" x14ac:dyDescent="0.25">
      <c r="A44" s="132">
        <v>40561</v>
      </c>
      <c r="B44" s="3" t="s">
        <v>371</v>
      </c>
      <c r="C44" s="3" t="s">
        <v>247</v>
      </c>
      <c r="D44" s="3" t="s">
        <v>374</v>
      </c>
      <c r="E44" s="3" t="s">
        <v>391</v>
      </c>
      <c r="F44" s="3">
        <v>40</v>
      </c>
      <c r="G44" s="91">
        <v>1080</v>
      </c>
      <c r="H44" s="91">
        <v>580</v>
      </c>
    </row>
    <row r="45" spans="1:8" x14ac:dyDescent="0.25">
      <c r="A45" s="132">
        <v>40564</v>
      </c>
      <c r="B45" s="3" t="s">
        <v>371</v>
      </c>
      <c r="C45" s="3" t="s">
        <v>361</v>
      </c>
      <c r="D45" s="3" t="s">
        <v>349</v>
      </c>
      <c r="E45" s="3" t="s">
        <v>365</v>
      </c>
      <c r="F45" s="3">
        <v>58</v>
      </c>
      <c r="G45" s="91">
        <v>1566</v>
      </c>
      <c r="H45" s="91">
        <v>841</v>
      </c>
    </row>
    <row r="46" spans="1:8" x14ac:dyDescent="0.25">
      <c r="A46" s="132">
        <v>40555</v>
      </c>
      <c r="B46" s="3" t="s">
        <v>367</v>
      </c>
      <c r="C46" s="3" t="s">
        <v>361</v>
      </c>
      <c r="D46" s="3" t="s">
        <v>246</v>
      </c>
      <c r="E46" s="3" t="s">
        <v>392</v>
      </c>
      <c r="F46" s="3">
        <v>40</v>
      </c>
      <c r="G46" s="91">
        <v>920</v>
      </c>
      <c r="H46" s="91">
        <v>440</v>
      </c>
    </row>
    <row r="47" spans="1:8" x14ac:dyDescent="0.25">
      <c r="A47" s="132">
        <v>40559</v>
      </c>
      <c r="B47" s="3" t="s">
        <v>371</v>
      </c>
      <c r="C47" s="3" t="s">
        <v>247</v>
      </c>
      <c r="D47" s="3" t="s">
        <v>246</v>
      </c>
      <c r="E47" s="3" t="s">
        <v>393</v>
      </c>
      <c r="F47" s="3">
        <v>40</v>
      </c>
      <c r="G47" s="91">
        <v>1080</v>
      </c>
      <c r="H47" s="91">
        <v>580</v>
      </c>
    </row>
    <row r="48" spans="1:8" x14ac:dyDescent="0.25">
      <c r="A48" s="132">
        <v>40548</v>
      </c>
      <c r="B48" s="3" t="s">
        <v>367</v>
      </c>
      <c r="C48" s="3" t="s">
        <v>362</v>
      </c>
      <c r="D48" s="3" t="s">
        <v>364</v>
      </c>
      <c r="E48" s="3" t="s">
        <v>378</v>
      </c>
      <c r="F48" s="3">
        <v>11</v>
      </c>
      <c r="G48" s="91">
        <v>253</v>
      </c>
      <c r="H48" s="91">
        <v>121</v>
      </c>
    </row>
    <row r="49" spans="1:8" x14ac:dyDescent="0.25">
      <c r="A49" s="132">
        <v>40573</v>
      </c>
      <c r="B49" s="3" t="s">
        <v>373</v>
      </c>
      <c r="C49" s="3" t="s">
        <v>247</v>
      </c>
      <c r="D49" s="3" t="s">
        <v>364</v>
      </c>
      <c r="E49" s="3" t="s">
        <v>394</v>
      </c>
      <c r="F49" s="3">
        <v>17</v>
      </c>
      <c r="G49" s="91">
        <v>374</v>
      </c>
      <c r="H49" s="91">
        <v>170</v>
      </c>
    </row>
    <row r="50" spans="1:8" x14ac:dyDescent="0.25">
      <c r="A50" s="132">
        <v>40558</v>
      </c>
      <c r="B50" s="3" t="s">
        <v>371</v>
      </c>
      <c r="C50" s="3" t="s">
        <v>248</v>
      </c>
      <c r="D50" s="3" t="s">
        <v>382</v>
      </c>
      <c r="E50" s="3" t="s">
        <v>392</v>
      </c>
      <c r="F50" s="3">
        <v>19</v>
      </c>
      <c r="G50" s="91">
        <v>513</v>
      </c>
      <c r="H50" s="91">
        <v>275.5</v>
      </c>
    </row>
    <row r="51" spans="1:8" x14ac:dyDescent="0.25">
      <c r="A51" s="132">
        <v>40573</v>
      </c>
      <c r="B51" s="3" t="s">
        <v>371</v>
      </c>
      <c r="C51" s="3" t="s">
        <v>361</v>
      </c>
      <c r="D51" s="3" t="s">
        <v>382</v>
      </c>
      <c r="E51" s="3" t="s">
        <v>379</v>
      </c>
      <c r="F51" s="3">
        <v>15</v>
      </c>
      <c r="G51" s="91">
        <v>405</v>
      </c>
      <c r="H51" s="91">
        <v>217.5</v>
      </c>
    </row>
    <row r="52" spans="1:8" x14ac:dyDescent="0.25">
      <c r="A52" s="132">
        <v>40559</v>
      </c>
      <c r="B52" s="3" t="s">
        <v>363</v>
      </c>
      <c r="C52" s="3" t="s">
        <v>248</v>
      </c>
      <c r="D52" s="3" t="s">
        <v>382</v>
      </c>
      <c r="E52" s="3" t="s">
        <v>386</v>
      </c>
      <c r="F52" s="3">
        <v>57</v>
      </c>
      <c r="G52" s="91">
        <v>1083</v>
      </c>
      <c r="H52" s="91">
        <v>456</v>
      </c>
    </row>
    <row r="53" spans="1:8" x14ac:dyDescent="0.25">
      <c r="A53" s="132">
        <v>40567</v>
      </c>
      <c r="B53" s="3" t="s">
        <v>369</v>
      </c>
      <c r="C53" s="3" t="s">
        <v>361</v>
      </c>
      <c r="D53" s="3" t="s">
        <v>364</v>
      </c>
      <c r="E53" s="3" t="s">
        <v>386</v>
      </c>
      <c r="F53" s="3">
        <v>17</v>
      </c>
      <c r="G53" s="91">
        <v>357</v>
      </c>
      <c r="H53" s="91">
        <v>157.25</v>
      </c>
    </row>
    <row r="54" spans="1:8" x14ac:dyDescent="0.25">
      <c r="A54" s="132">
        <v>40569</v>
      </c>
      <c r="B54" s="3" t="s">
        <v>367</v>
      </c>
      <c r="C54" s="3" t="s">
        <v>362</v>
      </c>
      <c r="D54" s="3" t="s">
        <v>374</v>
      </c>
      <c r="E54" s="3" t="s">
        <v>375</v>
      </c>
      <c r="F54" s="3">
        <v>31</v>
      </c>
      <c r="G54" s="91">
        <v>713</v>
      </c>
      <c r="H54" s="91">
        <v>341</v>
      </c>
    </row>
    <row r="55" spans="1:8" x14ac:dyDescent="0.25">
      <c r="A55" s="132">
        <v>40554</v>
      </c>
      <c r="B55" s="3" t="s">
        <v>369</v>
      </c>
      <c r="C55" s="3" t="s">
        <v>362</v>
      </c>
      <c r="D55" s="3" t="s">
        <v>382</v>
      </c>
      <c r="E55" s="3" t="s">
        <v>395</v>
      </c>
      <c r="F55" s="3">
        <v>28</v>
      </c>
      <c r="G55" s="91">
        <v>588</v>
      </c>
      <c r="H55" s="91">
        <v>259</v>
      </c>
    </row>
    <row r="56" spans="1:8" x14ac:dyDescent="0.25">
      <c r="A56" s="132">
        <v>40549</v>
      </c>
      <c r="B56" s="3" t="s">
        <v>373</v>
      </c>
      <c r="C56" s="3" t="s">
        <v>361</v>
      </c>
      <c r="D56" s="3" t="s">
        <v>374</v>
      </c>
      <c r="E56" s="3" t="s">
        <v>396</v>
      </c>
      <c r="F56" s="3">
        <v>11</v>
      </c>
      <c r="G56" s="91">
        <v>242</v>
      </c>
      <c r="H56" s="91">
        <v>110</v>
      </c>
    </row>
    <row r="57" spans="1:8" x14ac:dyDescent="0.25">
      <c r="A57" s="132">
        <v>40552</v>
      </c>
      <c r="B57" s="3" t="s">
        <v>373</v>
      </c>
      <c r="C57" s="3" t="s">
        <v>248</v>
      </c>
      <c r="D57" s="3" t="s">
        <v>374</v>
      </c>
      <c r="E57" s="3" t="s">
        <v>379</v>
      </c>
      <c r="F57" s="3">
        <v>20</v>
      </c>
      <c r="G57" s="91">
        <v>440</v>
      </c>
      <c r="H57" s="91">
        <v>200</v>
      </c>
    </row>
    <row r="58" spans="1:8" x14ac:dyDescent="0.25">
      <c r="A58" s="132">
        <v>40559</v>
      </c>
      <c r="B58" s="3" t="s">
        <v>371</v>
      </c>
      <c r="C58" s="3" t="s">
        <v>248</v>
      </c>
      <c r="D58" s="3" t="s">
        <v>349</v>
      </c>
      <c r="E58" s="3" t="s">
        <v>397</v>
      </c>
      <c r="F58" s="3">
        <v>8</v>
      </c>
      <c r="G58" s="91">
        <v>216</v>
      </c>
      <c r="H58" s="91">
        <v>116</v>
      </c>
    </row>
    <row r="59" spans="1:8" x14ac:dyDescent="0.25">
      <c r="A59" s="132">
        <v>40555</v>
      </c>
      <c r="B59" s="3" t="s">
        <v>371</v>
      </c>
      <c r="C59" s="3" t="s">
        <v>247</v>
      </c>
      <c r="D59" s="3" t="s">
        <v>364</v>
      </c>
      <c r="E59" s="3" t="s">
        <v>379</v>
      </c>
      <c r="F59" s="3">
        <v>34</v>
      </c>
      <c r="G59" s="91">
        <v>918</v>
      </c>
      <c r="H59" s="91">
        <v>493</v>
      </c>
    </row>
    <row r="60" spans="1:8" x14ac:dyDescent="0.25">
      <c r="A60" s="132">
        <v>40557</v>
      </c>
      <c r="B60" s="3" t="s">
        <v>367</v>
      </c>
      <c r="C60" s="3" t="s">
        <v>361</v>
      </c>
      <c r="D60" s="3" t="s">
        <v>349</v>
      </c>
      <c r="E60" s="3" t="s">
        <v>396</v>
      </c>
      <c r="F60" s="3">
        <v>34</v>
      </c>
      <c r="G60" s="91">
        <v>782</v>
      </c>
      <c r="H60" s="91">
        <v>374</v>
      </c>
    </row>
    <row r="61" spans="1:8" x14ac:dyDescent="0.25">
      <c r="A61" s="132">
        <v>40545</v>
      </c>
      <c r="B61" s="3" t="s">
        <v>363</v>
      </c>
      <c r="C61" s="3" t="s">
        <v>247</v>
      </c>
      <c r="D61" s="3" t="s">
        <v>364</v>
      </c>
      <c r="E61" s="3" t="s">
        <v>398</v>
      </c>
      <c r="F61" s="3">
        <v>16</v>
      </c>
      <c r="G61" s="91">
        <v>304</v>
      </c>
      <c r="H61" s="91">
        <v>128</v>
      </c>
    </row>
    <row r="62" spans="1:8" x14ac:dyDescent="0.25">
      <c r="A62" s="132">
        <v>40553</v>
      </c>
      <c r="B62" s="3" t="s">
        <v>367</v>
      </c>
      <c r="C62" s="3" t="s">
        <v>248</v>
      </c>
      <c r="D62" s="3" t="s">
        <v>246</v>
      </c>
      <c r="E62" s="3" t="s">
        <v>375</v>
      </c>
      <c r="F62" s="3">
        <v>32</v>
      </c>
      <c r="G62" s="91">
        <v>736</v>
      </c>
      <c r="H62" s="91">
        <v>352</v>
      </c>
    </row>
    <row r="63" spans="1:8" x14ac:dyDescent="0.25">
      <c r="A63" s="132">
        <v>40571</v>
      </c>
      <c r="B63" s="3" t="s">
        <v>369</v>
      </c>
      <c r="C63" s="3" t="s">
        <v>361</v>
      </c>
      <c r="D63" s="3" t="s">
        <v>349</v>
      </c>
      <c r="E63" s="3" t="s">
        <v>387</v>
      </c>
      <c r="F63" s="3">
        <v>61</v>
      </c>
      <c r="G63" s="91">
        <v>1281</v>
      </c>
      <c r="H63" s="91">
        <v>564.25</v>
      </c>
    </row>
    <row r="64" spans="1:8" x14ac:dyDescent="0.25">
      <c r="A64" s="132">
        <v>40554</v>
      </c>
      <c r="B64" s="3" t="s">
        <v>369</v>
      </c>
      <c r="C64" s="3" t="s">
        <v>362</v>
      </c>
      <c r="D64" s="3" t="s">
        <v>364</v>
      </c>
      <c r="E64" s="3" t="s">
        <v>375</v>
      </c>
      <c r="F64" s="3">
        <v>59</v>
      </c>
      <c r="G64" s="91">
        <v>1239</v>
      </c>
      <c r="H64" s="91">
        <v>545.75</v>
      </c>
    </row>
    <row r="65" spans="1:8" x14ac:dyDescent="0.25">
      <c r="A65" s="132">
        <v>40546</v>
      </c>
      <c r="B65" s="3" t="s">
        <v>373</v>
      </c>
      <c r="C65" s="3" t="s">
        <v>362</v>
      </c>
      <c r="D65" s="3" t="s">
        <v>246</v>
      </c>
      <c r="E65" s="3" t="s">
        <v>375</v>
      </c>
      <c r="F65" s="3">
        <v>30</v>
      </c>
      <c r="G65" s="91">
        <v>660</v>
      </c>
      <c r="H65" s="91">
        <v>300</v>
      </c>
    </row>
    <row r="66" spans="1:8" x14ac:dyDescent="0.25">
      <c r="A66" s="132">
        <v>40558</v>
      </c>
      <c r="B66" s="3" t="s">
        <v>373</v>
      </c>
      <c r="C66" s="3" t="s">
        <v>361</v>
      </c>
      <c r="D66" s="3" t="s">
        <v>377</v>
      </c>
      <c r="E66" s="3" t="s">
        <v>381</v>
      </c>
      <c r="F66" s="3">
        <v>22</v>
      </c>
      <c r="G66" s="91">
        <v>484</v>
      </c>
      <c r="H66" s="91">
        <v>220</v>
      </c>
    </row>
    <row r="67" spans="1:8" x14ac:dyDescent="0.25">
      <c r="A67" s="132">
        <v>40557</v>
      </c>
      <c r="B67" s="3" t="s">
        <v>367</v>
      </c>
      <c r="C67" s="3" t="s">
        <v>247</v>
      </c>
      <c r="D67" s="3" t="s">
        <v>364</v>
      </c>
      <c r="E67" s="3" t="s">
        <v>376</v>
      </c>
      <c r="F67" s="3">
        <v>6</v>
      </c>
      <c r="G67" s="91">
        <v>138</v>
      </c>
      <c r="H67" s="91">
        <v>66</v>
      </c>
    </row>
    <row r="68" spans="1:8" x14ac:dyDescent="0.25">
      <c r="A68" s="132">
        <v>40571</v>
      </c>
      <c r="B68" s="3" t="s">
        <v>371</v>
      </c>
      <c r="C68" s="3" t="s">
        <v>361</v>
      </c>
      <c r="D68" s="3" t="s">
        <v>374</v>
      </c>
      <c r="E68" s="3" t="s">
        <v>399</v>
      </c>
      <c r="F68" s="3">
        <v>16</v>
      </c>
      <c r="G68" s="91">
        <v>432</v>
      </c>
      <c r="H68" s="91">
        <v>232</v>
      </c>
    </row>
    <row r="69" spans="1:8" x14ac:dyDescent="0.25">
      <c r="A69" s="132">
        <v>40547</v>
      </c>
      <c r="B69" s="3" t="s">
        <v>371</v>
      </c>
      <c r="C69" s="3" t="s">
        <v>248</v>
      </c>
      <c r="D69" s="3" t="s">
        <v>349</v>
      </c>
      <c r="E69" s="3" t="s">
        <v>395</v>
      </c>
      <c r="F69" s="3">
        <v>19</v>
      </c>
      <c r="G69" s="91">
        <v>513</v>
      </c>
      <c r="H69" s="91">
        <v>275.5</v>
      </c>
    </row>
    <row r="70" spans="1:8" x14ac:dyDescent="0.25">
      <c r="A70" s="132">
        <v>40556</v>
      </c>
      <c r="B70" s="3" t="s">
        <v>367</v>
      </c>
      <c r="C70" s="3" t="s">
        <v>362</v>
      </c>
      <c r="D70" s="3" t="s">
        <v>246</v>
      </c>
      <c r="E70" s="3" t="s">
        <v>391</v>
      </c>
      <c r="F70" s="3">
        <v>30</v>
      </c>
      <c r="G70" s="91">
        <v>690</v>
      </c>
      <c r="H70" s="91">
        <v>330</v>
      </c>
    </row>
    <row r="71" spans="1:8" x14ac:dyDescent="0.25">
      <c r="A71" s="132">
        <v>40555</v>
      </c>
      <c r="B71" s="3" t="s">
        <v>363</v>
      </c>
      <c r="C71" s="3" t="s">
        <v>247</v>
      </c>
      <c r="D71" s="3" t="s">
        <v>377</v>
      </c>
      <c r="E71" s="3" t="s">
        <v>372</v>
      </c>
      <c r="F71" s="3">
        <v>62</v>
      </c>
      <c r="G71" s="91">
        <v>1178</v>
      </c>
      <c r="H71" s="91">
        <v>496</v>
      </c>
    </row>
    <row r="72" spans="1:8" x14ac:dyDescent="0.25">
      <c r="A72" s="132">
        <v>40567</v>
      </c>
      <c r="B72" s="3" t="s">
        <v>373</v>
      </c>
      <c r="C72" s="3" t="s">
        <v>361</v>
      </c>
      <c r="D72" s="3" t="s">
        <v>364</v>
      </c>
      <c r="E72" s="3" t="s">
        <v>379</v>
      </c>
      <c r="F72" s="3">
        <v>25</v>
      </c>
      <c r="G72" s="91">
        <v>550</v>
      </c>
      <c r="H72" s="91">
        <v>250</v>
      </c>
    </row>
    <row r="73" spans="1:8" x14ac:dyDescent="0.25">
      <c r="A73" s="132">
        <v>40557</v>
      </c>
      <c r="B73" s="3" t="s">
        <v>363</v>
      </c>
      <c r="C73" s="3" t="s">
        <v>247</v>
      </c>
      <c r="D73" s="3" t="s">
        <v>349</v>
      </c>
      <c r="E73" s="3" t="s">
        <v>378</v>
      </c>
      <c r="F73" s="3">
        <v>13</v>
      </c>
      <c r="G73" s="91">
        <v>247</v>
      </c>
      <c r="H73" s="91">
        <v>104</v>
      </c>
    </row>
    <row r="74" spans="1:8" x14ac:dyDescent="0.25">
      <c r="A74" s="132">
        <v>40549</v>
      </c>
      <c r="B74" s="3" t="s">
        <v>369</v>
      </c>
      <c r="C74" s="3" t="s">
        <v>361</v>
      </c>
      <c r="D74" s="3" t="s">
        <v>246</v>
      </c>
      <c r="E74" s="3" t="s">
        <v>388</v>
      </c>
      <c r="F74" s="3">
        <v>24</v>
      </c>
      <c r="G74" s="91">
        <v>504</v>
      </c>
      <c r="H74" s="91">
        <v>222</v>
      </c>
    </row>
    <row r="75" spans="1:8" x14ac:dyDescent="0.25">
      <c r="A75" s="132">
        <v>40562</v>
      </c>
      <c r="B75" s="3" t="s">
        <v>367</v>
      </c>
      <c r="C75" s="3" t="s">
        <v>362</v>
      </c>
      <c r="D75" s="3" t="s">
        <v>377</v>
      </c>
      <c r="E75" s="3" t="s">
        <v>400</v>
      </c>
      <c r="F75" s="3">
        <v>51</v>
      </c>
      <c r="G75" s="91">
        <v>1173</v>
      </c>
      <c r="H75" s="91">
        <v>561</v>
      </c>
    </row>
    <row r="76" spans="1:8" x14ac:dyDescent="0.25">
      <c r="A76" s="132">
        <v>40570</v>
      </c>
      <c r="B76" s="3" t="s">
        <v>363</v>
      </c>
      <c r="C76" s="3" t="s">
        <v>248</v>
      </c>
      <c r="D76" s="3" t="s">
        <v>364</v>
      </c>
      <c r="E76" s="3" t="s">
        <v>390</v>
      </c>
      <c r="F76" s="3">
        <v>23</v>
      </c>
      <c r="G76" s="91">
        <v>437</v>
      </c>
      <c r="H76" s="91">
        <v>184</v>
      </c>
    </row>
    <row r="77" spans="1:8" x14ac:dyDescent="0.25">
      <c r="A77" s="132">
        <v>40564</v>
      </c>
      <c r="B77" s="3" t="s">
        <v>367</v>
      </c>
      <c r="C77" s="3" t="s">
        <v>247</v>
      </c>
      <c r="D77" s="3" t="s">
        <v>377</v>
      </c>
      <c r="E77" s="3" t="s">
        <v>386</v>
      </c>
      <c r="F77" s="3">
        <v>41</v>
      </c>
      <c r="G77" s="91">
        <v>943</v>
      </c>
      <c r="H77" s="91">
        <v>451</v>
      </c>
    </row>
    <row r="78" spans="1:8" x14ac:dyDescent="0.25">
      <c r="A78" s="132">
        <v>40547</v>
      </c>
      <c r="B78" s="3" t="s">
        <v>363</v>
      </c>
      <c r="C78" s="3" t="s">
        <v>247</v>
      </c>
      <c r="D78" s="3" t="s">
        <v>377</v>
      </c>
      <c r="E78" s="3" t="s">
        <v>378</v>
      </c>
      <c r="F78" s="3">
        <v>11</v>
      </c>
      <c r="G78" s="91">
        <v>209</v>
      </c>
      <c r="H78" s="91">
        <v>88</v>
      </c>
    </row>
    <row r="79" spans="1:8" x14ac:dyDescent="0.25">
      <c r="A79" s="132">
        <v>40547</v>
      </c>
      <c r="B79" s="3" t="s">
        <v>371</v>
      </c>
      <c r="C79" s="3" t="s">
        <v>361</v>
      </c>
      <c r="D79" s="3" t="s">
        <v>364</v>
      </c>
      <c r="E79" s="3" t="s">
        <v>396</v>
      </c>
      <c r="F79" s="3">
        <v>19</v>
      </c>
      <c r="G79" s="91">
        <v>513</v>
      </c>
      <c r="H79" s="91">
        <v>275.5</v>
      </c>
    </row>
    <row r="80" spans="1:8" x14ac:dyDescent="0.25">
      <c r="A80" s="132">
        <v>40570</v>
      </c>
      <c r="B80" s="3" t="s">
        <v>373</v>
      </c>
      <c r="C80" s="3" t="s">
        <v>247</v>
      </c>
      <c r="D80" s="3" t="s">
        <v>374</v>
      </c>
      <c r="E80" s="3" t="s">
        <v>396</v>
      </c>
      <c r="F80" s="3">
        <v>62</v>
      </c>
      <c r="G80" s="91">
        <v>1364</v>
      </c>
      <c r="H80" s="91">
        <v>620</v>
      </c>
    </row>
    <row r="81" spans="1:8" x14ac:dyDescent="0.25">
      <c r="A81" s="132">
        <v>40562</v>
      </c>
      <c r="B81" s="3" t="s">
        <v>363</v>
      </c>
      <c r="C81" s="3" t="s">
        <v>362</v>
      </c>
      <c r="D81" s="3" t="s">
        <v>377</v>
      </c>
      <c r="E81" s="3" t="s">
        <v>390</v>
      </c>
      <c r="F81" s="3">
        <v>48</v>
      </c>
      <c r="G81" s="91">
        <v>912</v>
      </c>
      <c r="H81" s="91">
        <v>384</v>
      </c>
    </row>
    <row r="82" spans="1:8" x14ac:dyDescent="0.25">
      <c r="A82" s="132">
        <v>40554</v>
      </c>
      <c r="B82" s="3" t="s">
        <v>373</v>
      </c>
      <c r="C82" s="3" t="s">
        <v>248</v>
      </c>
      <c r="D82" s="3" t="s">
        <v>364</v>
      </c>
      <c r="E82" s="3" t="s">
        <v>366</v>
      </c>
      <c r="F82" s="3">
        <v>34</v>
      </c>
      <c r="G82" s="91">
        <v>748</v>
      </c>
      <c r="H82" s="91">
        <v>340</v>
      </c>
    </row>
    <row r="83" spans="1:8" x14ac:dyDescent="0.25">
      <c r="A83" s="132">
        <v>40544</v>
      </c>
      <c r="B83" s="3" t="s">
        <v>367</v>
      </c>
      <c r="C83" s="3" t="s">
        <v>361</v>
      </c>
      <c r="D83" s="3" t="s">
        <v>364</v>
      </c>
      <c r="E83" s="3" t="s">
        <v>368</v>
      </c>
      <c r="F83" s="3">
        <v>37</v>
      </c>
      <c r="G83" s="91">
        <v>851</v>
      </c>
      <c r="H83" s="91">
        <v>407</v>
      </c>
    </row>
    <row r="84" spans="1:8" x14ac:dyDescent="0.25">
      <c r="A84" s="132">
        <v>40548</v>
      </c>
      <c r="B84" s="3" t="s">
        <v>363</v>
      </c>
      <c r="C84" s="3" t="s">
        <v>247</v>
      </c>
      <c r="D84" s="3" t="s">
        <v>349</v>
      </c>
      <c r="E84" s="3" t="s">
        <v>392</v>
      </c>
      <c r="F84" s="3">
        <v>50</v>
      </c>
      <c r="G84" s="91">
        <v>950</v>
      </c>
      <c r="H84" s="91">
        <v>400</v>
      </c>
    </row>
    <row r="85" spans="1:8" x14ac:dyDescent="0.25">
      <c r="A85" s="132">
        <v>40558</v>
      </c>
      <c r="B85" s="3" t="s">
        <v>367</v>
      </c>
      <c r="C85" s="3" t="s">
        <v>247</v>
      </c>
      <c r="D85" s="3" t="s">
        <v>374</v>
      </c>
      <c r="E85" s="3" t="s">
        <v>375</v>
      </c>
      <c r="F85" s="3">
        <v>51</v>
      </c>
      <c r="G85" s="91">
        <v>1173</v>
      </c>
      <c r="H85" s="91">
        <v>561</v>
      </c>
    </row>
    <row r="86" spans="1:8" x14ac:dyDescent="0.25">
      <c r="A86" s="132">
        <v>40566</v>
      </c>
      <c r="B86" s="3" t="s">
        <v>367</v>
      </c>
      <c r="C86" s="3" t="s">
        <v>247</v>
      </c>
      <c r="D86" s="3" t="s">
        <v>377</v>
      </c>
      <c r="E86" s="3" t="s">
        <v>376</v>
      </c>
      <c r="F86" s="3">
        <v>32</v>
      </c>
      <c r="G86" s="91">
        <v>736</v>
      </c>
      <c r="H86" s="91">
        <v>352</v>
      </c>
    </row>
    <row r="87" spans="1:8" x14ac:dyDescent="0.25">
      <c r="A87" s="132">
        <v>40550</v>
      </c>
      <c r="B87" s="3" t="s">
        <v>367</v>
      </c>
      <c r="C87" s="3" t="s">
        <v>362</v>
      </c>
      <c r="D87" s="3" t="s">
        <v>246</v>
      </c>
      <c r="E87" s="3" t="s">
        <v>368</v>
      </c>
      <c r="F87" s="3">
        <v>22</v>
      </c>
      <c r="G87" s="91">
        <v>506</v>
      </c>
      <c r="H87" s="91">
        <v>242</v>
      </c>
    </row>
    <row r="88" spans="1:8" x14ac:dyDescent="0.25">
      <c r="A88" s="132">
        <v>40559</v>
      </c>
      <c r="B88" s="3" t="s">
        <v>367</v>
      </c>
      <c r="C88" s="3" t="s">
        <v>362</v>
      </c>
      <c r="D88" s="3" t="s">
        <v>349</v>
      </c>
      <c r="E88" s="3" t="s">
        <v>394</v>
      </c>
      <c r="F88" s="3">
        <v>33</v>
      </c>
      <c r="G88" s="91">
        <v>759</v>
      </c>
      <c r="H88" s="91">
        <v>363</v>
      </c>
    </row>
    <row r="89" spans="1:8" x14ac:dyDescent="0.25">
      <c r="A89" s="132">
        <v>40562</v>
      </c>
      <c r="B89" s="3" t="s">
        <v>373</v>
      </c>
      <c r="C89" s="3" t="s">
        <v>362</v>
      </c>
      <c r="D89" s="3" t="s">
        <v>377</v>
      </c>
      <c r="E89" s="3" t="s">
        <v>375</v>
      </c>
      <c r="F89" s="3">
        <v>18</v>
      </c>
      <c r="G89" s="91">
        <v>396</v>
      </c>
      <c r="H89" s="91">
        <v>180</v>
      </c>
    </row>
    <row r="90" spans="1:8" x14ac:dyDescent="0.25">
      <c r="A90" s="132">
        <v>40571</v>
      </c>
      <c r="B90" s="3" t="s">
        <v>363</v>
      </c>
      <c r="C90" s="3" t="s">
        <v>248</v>
      </c>
      <c r="D90" s="3" t="s">
        <v>349</v>
      </c>
      <c r="E90" s="3" t="s">
        <v>387</v>
      </c>
      <c r="F90" s="3">
        <v>17</v>
      </c>
      <c r="G90" s="91">
        <v>323</v>
      </c>
      <c r="H90" s="91">
        <v>136</v>
      </c>
    </row>
    <row r="91" spans="1:8" x14ac:dyDescent="0.25">
      <c r="A91" s="132">
        <v>40559</v>
      </c>
      <c r="B91" s="3" t="s">
        <v>363</v>
      </c>
      <c r="C91" s="3" t="s">
        <v>362</v>
      </c>
      <c r="D91" s="3" t="s">
        <v>246</v>
      </c>
      <c r="E91" s="3" t="s">
        <v>380</v>
      </c>
      <c r="F91" s="3">
        <v>14</v>
      </c>
      <c r="G91" s="91">
        <v>266</v>
      </c>
      <c r="H91" s="91">
        <v>112</v>
      </c>
    </row>
    <row r="92" spans="1:8" x14ac:dyDescent="0.25">
      <c r="A92" s="132">
        <v>40558</v>
      </c>
      <c r="B92" s="3" t="s">
        <v>363</v>
      </c>
      <c r="C92" s="3" t="s">
        <v>361</v>
      </c>
      <c r="D92" s="3" t="s">
        <v>377</v>
      </c>
      <c r="E92" s="3" t="s">
        <v>399</v>
      </c>
      <c r="F92" s="3">
        <v>54</v>
      </c>
      <c r="G92" s="91">
        <v>1026</v>
      </c>
      <c r="H92" s="91">
        <v>432</v>
      </c>
    </row>
    <row r="93" spans="1:8" x14ac:dyDescent="0.25">
      <c r="A93" s="132">
        <v>40570</v>
      </c>
      <c r="B93" s="3" t="s">
        <v>373</v>
      </c>
      <c r="C93" s="3" t="s">
        <v>248</v>
      </c>
      <c r="D93" s="3" t="s">
        <v>364</v>
      </c>
      <c r="E93" s="3" t="s">
        <v>375</v>
      </c>
      <c r="F93" s="3">
        <v>56</v>
      </c>
      <c r="G93" s="91">
        <v>1232</v>
      </c>
      <c r="H93" s="91">
        <v>560</v>
      </c>
    </row>
    <row r="94" spans="1:8" x14ac:dyDescent="0.25">
      <c r="A94" s="132">
        <v>40571</v>
      </c>
      <c r="B94" s="3" t="s">
        <v>373</v>
      </c>
      <c r="C94" s="3" t="s">
        <v>362</v>
      </c>
      <c r="D94" s="3" t="s">
        <v>349</v>
      </c>
      <c r="E94" s="3" t="s">
        <v>392</v>
      </c>
      <c r="F94" s="3">
        <v>47</v>
      </c>
      <c r="G94" s="91">
        <v>1034</v>
      </c>
      <c r="H94" s="91">
        <v>470</v>
      </c>
    </row>
    <row r="95" spans="1:8" x14ac:dyDescent="0.25">
      <c r="A95" s="132">
        <v>40571</v>
      </c>
      <c r="B95" s="3" t="s">
        <v>373</v>
      </c>
      <c r="C95" s="3" t="s">
        <v>247</v>
      </c>
      <c r="D95" s="3" t="s">
        <v>246</v>
      </c>
      <c r="E95" s="3" t="s">
        <v>401</v>
      </c>
      <c r="F95" s="3">
        <v>65</v>
      </c>
      <c r="G95" s="91">
        <v>1430</v>
      </c>
      <c r="H95" s="91">
        <v>650</v>
      </c>
    </row>
    <row r="96" spans="1:8" x14ac:dyDescent="0.25">
      <c r="A96" s="132">
        <v>40558</v>
      </c>
      <c r="B96" s="3" t="s">
        <v>369</v>
      </c>
      <c r="C96" s="3" t="s">
        <v>361</v>
      </c>
      <c r="D96" s="3" t="s">
        <v>364</v>
      </c>
      <c r="E96" s="3" t="s">
        <v>378</v>
      </c>
      <c r="F96" s="3">
        <v>56</v>
      </c>
      <c r="G96" s="91">
        <v>1176</v>
      </c>
      <c r="H96" s="91">
        <v>518</v>
      </c>
    </row>
    <row r="97" spans="1:8" x14ac:dyDescent="0.25">
      <c r="A97" s="132">
        <v>40557</v>
      </c>
      <c r="B97" s="3" t="s">
        <v>371</v>
      </c>
      <c r="C97" s="3" t="s">
        <v>362</v>
      </c>
      <c r="D97" s="3" t="s">
        <v>377</v>
      </c>
      <c r="E97" s="3" t="s">
        <v>391</v>
      </c>
      <c r="F97" s="3">
        <v>64</v>
      </c>
      <c r="G97" s="91">
        <v>1728</v>
      </c>
      <c r="H97" s="91">
        <v>928</v>
      </c>
    </row>
    <row r="98" spans="1:8" x14ac:dyDescent="0.25">
      <c r="A98" s="132">
        <v>40562</v>
      </c>
      <c r="B98" s="3" t="s">
        <v>369</v>
      </c>
      <c r="C98" s="3" t="s">
        <v>361</v>
      </c>
      <c r="D98" s="3" t="s">
        <v>374</v>
      </c>
      <c r="E98" s="3" t="s">
        <v>402</v>
      </c>
      <c r="F98" s="3">
        <v>63</v>
      </c>
      <c r="G98" s="91">
        <v>1323</v>
      </c>
      <c r="H98" s="91">
        <v>582.75</v>
      </c>
    </row>
    <row r="99" spans="1:8" x14ac:dyDescent="0.25">
      <c r="A99" s="132">
        <v>40572</v>
      </c>
      <c r="B99" s="3" t="s">
        <v>369</v>
      </c>
      <c r="C99" s="3" t="s">
        <v>247</v>
      </c>
      <c r="D99" s="3" t="s">
        <v>374</v>
      </c>
      <c r="E99" s="3" t="s">
        <v>375</v>
      </c>
      <c r="F99" s="3">
        <v>25</v>
      </c>
      <c r="G99" s="91">
        <v>525</v>
      </c>
      <c r="H99" s="91">
        <v>231.25</v>
      </c>
    </row>
    <row r="100" spans="1:8" x14ac:dyDescent="0.25">
      <c r="A100" s="132">
        <v>40560</v>
      </c>
      <c r="B100" s="3" t="s">
        <v>371</v>
      </c>
      <c r="C100" s="3" t="s">
        <v>248</v>
      </c>
      <c r="D100" s="3" t="s">
        <v>364</v>
      </c>
      <c r="E100" s="3" t="s">
        <v>385</v>
      </c>
      <c r="F100" s="3">
        <v>15</v>
      </c>
      <c r="G100" s="91">
        <v>405</v>
      </c>
      <c r="H100" s="91">
        <v>217.5</v>
      </c>
    </row>
    <row r="101" spans="1:8" x14ac:dyDescent="0.25">
      <c r="A101" s="132">
        <v>40573</v>
      </c>
      <c r="B101" s="3" t="s">
        <v>363</v>
      </c>
      <c r="C101" s="3" t="s">
        <v>361</v>
      </c>
      <c r="D101" s="3" t="s">
        <v>364</v>
      </c>
      <c r="E101" s="3" t="s">
        <v>381</v>
      </c>
      <c r="F101" s="3">
        <v>42</v>
      </c>
      <c r="G101" s="91">
        <v>798</v>
      </c>
      <c r="H101" s="91">
        <v>336</v>
      </c>
    </row>
    <row r="102" spans="1:8" x14ac:dyDescent="0.25">
      <c r="A102" s="132">
        <v>40559</v>
      </c>
      <c r="B102" s="3" t="s">
        <v>369</v>
      </c>
      <c r="C102" s="3" t="s">
        <v>361</v>
      </c>
      <c r="D102" s="3" t="s">
        <v>377</v>
      </c>
      <c r="E102" s="3" t="s">
        <v>368</v>
      </c>
      <c r="F102" s="3">
        <v>31</v>
      </c>
      <c r="G102" s="91">
        <v>651</v>
      </c>
      <c r="H102" s="91">
        <v>286.75</v>
      </c>
    </row>
    <row r="103" spans="1:8" x14ac:dyDescent="0.25">
      <c r="A103" s="132">
        <v>40562</v>
      </c>
      <c r="B103" s="3" t="s">
        <v>369</v>
      </c>
      <c r="C103" s="3" t="s">
        <v>247</v>
      </c>
      <c r="D103" s="3" t="s">
        <v>382</v>
      </c>
      <c r="E103" s="3" t="s">
        <v>387</v>
      </c>
      <c r="F103" s="3">
        <v>32</v>
      </c>
      <c r="G103" s="91">
        <v>672</v>
      </c>
      <c r="H103" s="91">
        <v>296</v>
      </c>
    </row>
    <row r="104" spans="1:8" x14ac:dyDescent="0.25">
      <c r="A104" s="132">
        <v>40548</v>
      </c>
      <c r="B104" s="3" t="s">
        <v>367</v>
      </c>
      <c r="C104" s="3" t="s">
        <v>362</v>
      </c>
      <c r="D104" s="3" t="s">
        <v>349</v>
      </c>
      <c r="E104" s="3" t="s">
        <v>386</v>
      </c>
      <c r="F104" s="3">
        <v>34</v>
      </c>
      <c r="G104" s="91">
        <v>782</v>
      </c>
      <c r="H104" s="91">
        <v>374</v>
      </c>
    </row>
    <row r="105" spans="1:8" x14ac:dyDescent="0.25">
      <c r="A105" s="132">
        <v>40561</v>
      </c>
      <c r="B105" s="3" t="s">
        <v>367</v>
      </c>
      <c r="C105" s="3" t="s">
        <v>248</v>
      </c>
      <c r="D105" s="3" t="s">
        <v>246</v>
      </c>
      <c r="E105" s="3" t="s">
        <v>396</v>
      </c>
      <c r="F105" s="3">
        <v>50</v>
      </c>
      <c r="G105" s="91">
        <v>1150</v>
      </c>
      <c r="H105" s="91">
        <v>550</v>
      </c>
    </row>
    <row r="106" spans="1:8" x14ac:dyDescent="0.25">
      <c r="A106" s="132">
        <v>40551</v>
      </c>
      <c r="B106" s="3" t="s">
        <v>363</v>
      </c>
      <c r="C106" s="3" t="s">
        <v>362</v>
      </c>
      <c r="D106" s="3" t="s">
        <v>349</v>
      </c>
      <c r="E106" s="3" t="s">
        <v>394</v>
      </c>
      <c r="F106" s="3">
        <v>53</v>
      </c>
      <c r="G106" s="91">
        <v>1007</v>
      </c>
      <c r="H106" s="91">
        <v>424</v>
      </c>
    </row>
    <row r="107" spans="1:8" x14ac:dyDescent="0.25">
      <c r="A107" s="132">
        <v>40553</v>
      </c>
      <c r="B107" s="3" t="s">
        <v>371</v>
      </c>
      <c r="C107" s="3" t="s">
        <v>361</v>
      </c>
      <c r="D107" s="3" t="s">
        <v>349</v>
      </c>
      <c r="E107" s="3" t="s">
        <v>401</v>
      </c>
      <c r="F107" s="3">
        <v>27</v>
      </c>
      <c r="G107" s="91">
        <v>729</v>
      </c>
      <c r="H107" s="91">
        <v>391.5</v>
      </c>
    </row>
    <row r="108" spans="1:8" x14ac:dyDescent="0.25">
      <c r="A108" s="132">
        <v>40548</v>
      </c>
      <c r="B108" s="3" t="s">
        <v>373</v>
      </c>
      <c r="C108" s="3" t="s">
        <v>248</v>
      </c>
      <c r="D108" s="3" t="s">
        <v>382</v>
      </c>
      <c r="E108" s="3" t="s">
        <v>386</v>
      </c>
      <c r="F108" s="3">
        <v>23</v>
      </c>
      <c r="G108" s="91">
        <v>506</v>
      </c>
      <c r="H108" s="91">
        <v>230</v>
      </c>
    </row>
    <row r="109" spans="1:8" x14ac:dyDescent="0.25">
      <c r="A109" s="132">
        <v>40558</v>
      </c>
      <c r="B109" s="3" t="s">
        <v>371</v>
      </c>
      <c r="C109" s="3" t="s">
        <v>247</v>
      </c>
      <c r="D109" s="3" t="s">
        <v>246</v>
      </c>
      <c r="E109" s="3" t="s">
        <v>395</v>
      </c>
      <c r="F109" s="3">
        <v>12</v>
      </c>
      <c r="G109" s="91">
        <v>324</v>
      </c>
      <c r="H109" s="91">
        <v>174</v>
      </c>
    </row>
    <row r="110" spans="1:8" x14ac:dyDescent="0.25">
      <c r="A110" s="132">
        <v>40560</v>
      </c>
      <c r="B110" s="3" t="s">
        <v>371</v>
      </c>
      <c r="C110" s="3" t="s">
        <v>247</v>
      </c>
      <c r="D110" s="3" t="s">
        <v>246</v>
      </c>
      <c r="E110" s="3" t="s">
        <v>389</v>
      </c>
      <c r="F110" s="3">
        <v>50</v>
      </c>
      <c r="G110" s="91">
        <v>1350</v>
      </c>
      <c r="H110" s="91">
        <v>725</v>
      </c>
    </row>
    <row r="111" spans="1:8" x14ac:dyDescent="0.25">
      <c r="A111" s="132">
        <v>40569</v>
      </c>
      <c r="B111" s="3" t="s">
        <v>363</v>
      </c>
      <c r="C111" s="3" t="s">
        <v>361</v>
      </c>
      <c r="D111" s="3" t="s">
        <v>374</v>
      </c>
      <c r="E111" s="3" t="s">
        <v>396</v>
      </c>
      <c r="F111" s="3">
        <v>49</v>
      </c>
      <c r="G111" s="91">
        <v>931</v>
      </c>
      <c r="H111" s="91">
        <v>392</v>
      </c>
    </row>
    <row r="112" spans="1:8" x14ac:dyDescent="0.25">
      <c r="A112" s="132">
        <v>40554</v>
      </c>
      <c r="B112" s="3" t="s">
        <v>369</v>
      </c>
      <c r="C112" s="3" t="s">
        <v>362</v>
      </c>
      <c r="D112" s="3" t="s">
        <v>374</v>
      </c>
      <c r="E112" s="3" t="s">
        <v>389</v>
      </c>
      <c r="F112" s="3">
        <v>17</v>
      </c>
      <c r="G112" s="91">
        <v>357</v>
      </c>
      <c r="H112" s="91">
        <v>157.25</v>
      </c>
    </row>
    <row r="113" spans="1:8" x14ac:dyDescent="0.25">
      <c r="A113" s="132">
        <v>40547</v>
      </c>
      <c r="B113" s="3" t="s">
        <v>371</v>
      </c>
      <c r="C113" s="3" t="s">
        <v>362</v>
      </c>
      <c r="D113" s="3" t="s">
        <v>349</v>
      </c>
      <c r="E113" s="3" t="s">
        <v>376</v>
      </c>
      <c r="F113" s="3">
        <v>12</v>
      </c>
      <c r="G113" s="91">
        <v>324</v>
      </c>
      <c r="H113" s="91">
        <v>174</v>
      </c>
    </row>
    <row r="114" spans="1:8" x14ac:dyDescent="0.25">
      <c r="A114" s="132">
        <v>40564</v>
      </c>
      <c r="B114" s="3" t="s">
        <v>367</v>
      </c>
      <c r="C114" s="3" t="s">
        <v>361</v>
      </c>
      <c r="D114" s="3" t="s">
        <v>246</v>
      </c>
      <c r="E114" s="3" t="s">
        <v>398</v>
      </c>
      <c r="F114" s="3">
        <v>53</v>
      </c>
      <c r="G114" s="91">
        <v>1219</v>
      </c>
      <c r="H114" s="91">
        <v>583</v>
      </c>
    </row>
    <row r="115" spans="1:8" x14ac:dyDescent="0.25">
      <c r="A115" s="132">
        <v>40565</v>
      </c>
      <c r="B115" s="3" t="s">
        <v>369</v>
      </c>
      <c r="C115" s="3" t="s">
        <v>247</v>
      </c>
      <c r="D115" s="3" t="s">
        <v>364</v>
      </c>
      <c r="E115" s="3" t="s">
        <v>391</v>
      </c>
      <c r="F115" s="3">
        <v>41</v>
      </c>
      <c r="G115" s="91">
        <v>861</v>
      </c>
      <c r="H115" s="91">
        <v>379.25</v>
      </c>
    </row>
    <row r="116" spans="1:8" x14ac:dyDescent="0.25">
      <c r="A116" s="132">
        <v>40553</v>
      </c>
      <c r="B116" s="3" t="s">
        <v>363</v>
      </c>
      <c r="C116" s="3" t="s">
        <v>248</v>
      </c>
      <c r="D116" s="3" t="s">
        <v>364</v>
      </c>
      <c r="E116" s="3" t="s">
        <v>368</v>
      </c>
      <c r="F116" s="3">
        <v>8</v>
      </c>
      <c r="G116" s="91">
        <v>152</v>
      </c>
      <c r="H116" s="91">
        <v>64</v>
      </c>
    </row>
    <row r="117" spans="1:8" x14ac:dyDescent="0.25">
      <c r="A117" s="132">
        <v>40555</v>
      </c>
      <c r="B117" s="3" t="s">
        <v>369</v>
      </c>
      <c r="C117" s="3" t="s">
        <v>362</v>
      </c>
      <c r="D117" s="3" t="s">
        <v>364</v>
      </c>
      <c r="E117" s="3" t="s">
        <v>387</v>
      </c>
      <c r="F117" s="3">
        <v>47</v>
      </c>
      <c r="G117" s="91">
        <v>987</v>
      </c>
      <c r="H117" s="91">
        <v>434.75</v>
      </c>
    </row>
  </sheetData>
  <pageMargins left="0.7" right="0.7" top="0.75" bottom="0.75" header="0.3" footer="0.3"/>
  <pageSetup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22"/>
  <sheetViews>
    <sheetView workbookViewId="0">
      <selection activeCell="C21" sqref="C21"/>
    </sheetView>
  </sheetViews>
  <sheetFormatPr defaultColWidth="10.28515625" defaultRowHeight="15" x14ac:dyDescent="0.25"/>
  <cols>
    <col min="1" max="1" width="16.7109375" customWidth="1"/>
    <col min="2" max="2" width="13.85546875" bestFit="1" customWidth="1"/>
    <col min="3" max="3" width="12.28515625" bestFit="1" customWidth="1"/>
    <col min="4" max="4" width="13.85546875" bestFit="1" customWidth="1"/>
    <col min="8" max="13" width="16.28515625" customWidth="1"/>
    <col min="14" max="15" width="12.28515625" customWidth="1"/>
    <col min="16" max="18" width="9" customWidth="1"/>
    <col min="19" max="19" width="12.42578125" bestFit="1" customWidth="1"/>
    <col min="20" max="23" width="9" customWidth="1"/>
    <col min="24" max="24" width="10.7109375" customWidth="1"/>
    <col min="25" max="28" width="9" customWidth="1"/>
    <col min="29" max="29" width="12" customWidth="1"/>
    <col min="30" max="32" width="10.7109375" customWidth="1"/>
    <col min="33" max="33" width="10.7109375" bestFit="1" customWidth="1"/>
    <col min="34" max="34" width="14.28515625" bestFit="1" customWidth="1"/>
    <col min="35" max="35" width="11.42578125" bestFit="1" customWidth="1"/>
  </cols>
  <sheetData>
    <row r="1" spans="1:10" x14ac:dyDescent="0.25">
      <c r="A1" s="185" t="s">
        <v>562</v>
      </c>
      <c r="B1" s="186"/>
      <c r="C1" s="186"/>
      <c r="D1" s="186"/>
      <c r="E1" s="186"/>
      <c r="F1" s="186"/>
      <c r="G1" s="186"/>
      <c r="H1" s="187"/>
    </row>
    <row r="3" spans="1:10" x14ac:dyDescent="0.25">
      <c r="B3" s="110" t="s">
        <v>256</v>
      </c>
      <c r="C3" s="110" t="s">
        <v>563</v>
      </c>
      <c r="D3" s="110" t="str">
        <f t="shared" ref="D3:J3" si="0">D16</f>
        <v>Expense 1</v>
      </c>
      <c r="E3" s="110" t="str">
        <f t="shared" si="0"/>
        <v>Expense 2</v>
      </c>
      <c r="F3" s="110" t="str">
        <f t="shared" si="0"/>
        <v>Expense 3</v>
      </c>
      <c r="G3" s="110" t="str">
        <f t="shared" si="0"/>
        <v>Expense 4</v>
      </c>
      <c r="H3" s="110" t="str">
        <f t="shared" si="0"/>
        <v>Expense 5</v>
      </c>
      <c r="I3" s="110" t="str">
        <f t="shared" si="0"/>
        <v>Expense 6</v>
      </c>
      <c r="J3" s="110" t="str">
        <f t="shared" si="0"/>
        <v>Expense 7</v>
      </c>
    </row>
    <row r="4" spans="1:10" x14ac:dyDescent="0.25">
      <c r="B4" s="3" t="s">
        <v>220</v>
      </c>
      <c r="C4" s="91">
        <v>5000</v>
      </c>
      <c r="D4" s="53"/>
      <c r="E4" s="53"/>
      <c r="F4" s="53"/>
      <c r="G4" s="53"/>
      <c r="H4" s="53"/>
      <c r="I4" s="53"/>
      <c r="J4" s="53"/>
    </row>
    <row r="5" spans="1:10" x14ac:dyDescent="0.25">
      <c r="B5" s="3" t="s">
        <v>221</v>
      </c>
      <c r="C5" s="91">
        <v>6000</v>
      </c>
      <c r="D5" s="53"/>
      <c r="E5" s="53"/>
      <c r="F5" s="53"/>
      <c r="G5" s="53"/>
      <c r="H5" s="53"/>
      <c r="I5" s="53"/>
      <c r="J5" s="53"/>
    </row>
    <row r="6" spans="1:10" x14ac:dyDescent="0.25">
      <c r="B6" s="3" t="s">
        <v>231</v>
      </c>
      <c r="C6" s="91">
        <v>7500</v>
      </c>
      <c r="D6" s="53"/>
      <c r="E6" s="53"/>
      <c r="F6" s="53"/>
      <c r="G6" s="53"/>
      <c r="H6" s="53"/>
      <c r="I6" s="53"/>
      <c r="J6" s="53"/>
    </row>
    <row r="7" spans="1:10" x14ac:dyDescent="0.25">
      <c r="B7" s="3" t="s">
        <v>259</v>
      </c>
      <c r="C7" s="91">
        <v>8000</v>
      </c>
      <c r="D7" s="53"/>
      <c r="E7" s="53"/>
      <c r="F7" s="53"/>
      <c r="G7" s="53"/>
      <c r="H7" s="53"/>
      <c r="I7" s="53"/>
      <c r="J7" s="53"/>
    </row>
    <row r="8" spans="1:10" x14ac:dyDescent="0.25">
      <c r="B8" s="3" t="s">
        <v>260</v>
      </c>
      <c r="C8" s="91">
        <v>8000</v>
      </c>
      <c r="D8" s="53"/>
      <c r="E8" s="53"/>
      <c r="F8" s="53"/>
      <c r="G8" s="53"/>
      <c r="H8" s="53"/>
      <c r="I8" s="53"/>
      <c r="J8" s="53"/>
    </row>
    <row r="9" spans="1:10" x14ac:dyDescent="0.25">
      <c r="B9" s="3" t="s">
        <v>261</v>
      </c>
      <c r="C9" s="91">
        <v>8000</v>
      </c>
      <c r="D9" s="53"/>
      <c r="E9" s="53"/>
      <c r="F9" s="53"/>
      <c r="G9" s="53"/>
      <c r="H9" s="53"/>
      <c r="I9" s="53"/>
      <c r="J9" s="53"/>
    </row>
    <row r="10" spans="1:10" x14ac:dyDescent="0.25">
      <c r="B10" s="3" t="s">
        <v>564</v>
      </c>
      <c r="C10" s="91">
        <v>10000</v>
      </c>
      <c r="D10" s="53"/>
      <c r="E10" s="53"/>
      <c r="F10" s="53"/>
      <c r="G10" s="53"/>
      <c r="H10" s="53"/>
      <c r="I10" s="53"/>
      <c r="J10" s="53"/>
    </row>
    <row r="11" spans="1:10" x14ac:dyDescent="0.25">
      <c r="B11" s="3" t="s">
        <v>565</v>
      </c>
      <c r="C11" s="91">
        <v>11000</v>
      </c>
      <c r="D11" s="53"/>
      <c r="E11" s="53"/>
      <c r="F11" s="53"/>
      <c r="G11" s="53"/>
      <c r="H11" s="53"/>
      <c r="I11" s="53"/>
      <c r="J11" s="53"/>
    </row>
    <row r="12" spans="1:10" x14ac:dyDescent="0.25">
      <c r="B12" s="3" t="s">
        <v>566</v>
      </c>
      <c r="C12" s="91">
        <v>15000</v>
      </c>
      <c r="D12" s="53"/>
      <c r="E12" s="53"/>
      <c r="F12" s="53"/>
      <c r="G12" s="53"/>
      <c r="H12" s="53"/>
      <c r="I12" s="53"/>
      <c r="J12" s="53"/>
    </row>
    <row r="15" spans="1:10" x14ac:dyDescent="0.25">
      <c r="A15" s="109" t="s">
        <v>567</v>
      </c>
      <c r="B15" s="109"/>
      <c r="D15" s="109" t="s">
        <v>567</v>
      </c>
      <c r="E15" s="109"/>
      <c r="F15" s="109"/>
      <c r="G15" s="109"/>
      <c r="H15" s="109"/>
      <c r="I15" s="109"/>
      <c r="J15" s="109"/>
    </row>
    <row r="16" spans="1:10" x14ac:dyDescent="0.25">
      <c r="A16" s="110" t="s">
        <v>568</v>
      </c>
      <c r="B16" s="188">
        <v>0.1</v>
      </c>
      <c r="D16" s="110" t="s">
        <v>568</v>
      </c>
      <c r="E16" s="110" t="s">
        <v>569</v>
      </c>
      <c r="F16" s="110" t="s">
        <v>570</v>
      </c>
      <c r="G16" s="110" t="s">
        <v>571</v>
      </c>
      <c r="H16" s="110" t="s">
        <v>572</v>
      </c>
      <c r="I16" s="110" t="s">
        <v>573</v>
      </c>
      <c r="J16" s="110" t="s">
        <v>574</v>
      </c>
    </row>
    <row r="17" spans="1:10" x14ac:dyDescent="0.25">
      <c r="A17" s="110" t="s">
        <v>569</v>
      </c>
      <c r="B17" s="188">
        <v>0.05</v>
      </c>
      <c r="D17" s="188">
        <v>0.1</v>
      </c>
      <c r="E17" s="188">
        <v>0.05</v>
      </c>
      <c r="F17" s="188">
        <v>0.12</v>
      </c>
      <c r="G17" s="188">
        <v>4.4999999999999998E-2</v>
      </c>
      <c r="H17" s="188">
        <v>0.21</v>
      </c>
      <c r="I17" s="188">
        <v>0.04</v>
      </c>
      <c r="J17" s="188">
        <v>0.03</v>
      </c>
    </row>
    <row r="18" spans="1:10" x14ac:dyDescent="0.25">
      <c r="A18" s="110" t="s">
        <v>570</v>
      </c>
      <c r="B18" s="188">
        <v>0.12</v>
      </c>
    </row>
    <row r="19" spans="1:10" x14ac:dyDescent="0.25">
      <c r="A19" s="110" t="s">
        <v>571</v>
      </c>
      <c r="B19" s="188">
        <v>4.4999999999999998E-2</v>
      </c>
    </row>
    <row r="20" spans="1:10" x14ac:dyDescent="0.25">
      <c r="A20" s="110" t="s">
        <v>572</v>
      </c>
      <c r="B20" s="188">
        <v>0.21</v>
      </c>
    </row>
    <row r="21" spans="1:10" x14ac:dyDescent="0.25">
      <c r="A21" s="110" t="s">
        <v>573</v>
      </c>
      <c r="B21" s="188">
        <v>0.04</v>
      </c>
    </row>
    <row r="22" spans="1:10" x14ac:dyDescent="0.25">
      <c r="A22" s="110" t="s">
        <v>574</v>
      </c>
      <c r="B22" s="188">
        <v>0.03</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2"/>
  <sheetViews>
    <sheetView workbookViewId="0">
      <selection activeCell="C21" sqref="C21"/>
    </sheetView>
  </sheetViews>
  <sheetFormatPr defaultColWidth="10.28515625" defaultRowHeight="15" x14ac:dyDescent="0.25"/>
  <cols>
    <col min="1" max="1" width="16.7109375" customWidth="1"/>
    <col min="2" max="2" width="13.85546875" bestFit="1" customWidth="1"/>
    <col min="3" max="3" width="12.28515625" bestFit="1" customWidth="1"/>
    <col min="4" max="4" width="13.85546875" bestFit="1" customWidth="1"/>
    <col min="8" max="13" width="16.28515625" customWidth="1"/>
    <col min="14" max="15" width="12.28515625" customWidth="1"/>
    <col min="16" max="18" width="9" customWidth="1"/>
    <col min="19" max="19" width="12.42578125" bestFit="1" customWidth="1"/>
    <col min="20" max="23" width="9" customWidth="1"/>
    <col min="24" max="24" width="10.7109375" customWidth="1"/>
    <col min="25" max="28" width="9" customWidth="1"/>
    <col min="29" max="29" width="12" customWidth="1"/>
    <col min="30" max="32" width="10.7109375" customWidth="1"/>
    <col min="33" max="33" width="10.7109375" bestFit="1" customWidth="1"/>
    <col min="34" max="34" width="14.28515625" bestFit="1" customWidth="1"/>
    <col min="35" max="35" width="11.42578125" bestFit="1" customWidth="1"/>
  </cols>
  <sheetData>
    <row r="1" spans="1:10" x14ac:dyDescent="0.25">
      <c r="A1" s="185" t="s">
        <v>562</v>
      </c>
      <c r="B1" s="186"/>
      <c r="C1" s="186"/>
      <c r="D1" s="186"/>
      <c r="E1" s="186"/>
      <c r="F1" s="186"/>
      <c r="G1" s="186"/>
      <c r="H1" s="187"/>
    </row>
    <row r="3" spans="1:10" x14ac:dyDescent="0.25">
      <c r="B3" s="110" t="s">
        <v>256</v>
      </c>
      <c r="C3" s="110" t="s">
        <v>563</v>
      </c>
      <c r="D3" s="110" t="str">
        <f t="shared" ref="D3:J3" si="0">D16</f>
        <v>Expense 1</v>
      </c>
      <c r="E3" s="110" t="str">
        <f t="shared" si="0"/>
        <v>Expense 2</v>
      </c>
      <c r="F3" s="110" t="str">
        <f t="shared" si="0"/>
        <v>Expense 3</v>
      </c>
      <c r="G3" s="110" t="str">
        <f t="shared" si="0"/>
        <v>Expense 4</v>
      </c>
      <c r="H3" s="110" t="str">
        <f t="shared" si="0"/>
        <v>Expense 5</v>
      </c>
      <c r="I3" s="110" t="str">
        <f t="shared" si="0"/>
        <v>Expense 6</v>
      </c>
      <c r="J3" s="110" t="str">
        <f t="shared" si="0"/>
        <v>Expense 7</v>
      </c>
    </row>
    <row r="4" spans="1:10" x14ac:dyDescent="0.25">
      <c r="B4" s="3" t="s">
        <v>220</v>
      </c>
      <c r="C4" s="91">
        <v>5000</v>
      </c>
      <c r="D4" s="53">
        <f t="shared" ref="D4:J12" si="1">$C4*D$17</f>
        <v>500</v>
      </c>
      <c r="E4" s="53">
        <f t="shared" si="1"/>
        <v>250</v>
      </c>
      <c r="F4" s="53">
        <f t="shared" si="1"/>
        <v>600</v>
      </c>
      <c r="G4" s="53">
        <f t="shared" si="1"/>
        <v>225</v>
      </c>
      <c r="H4" s="53">
        <f t="shared" si="1"/>
        <v>1050</v>
      </c>
      <c r="I4" s="53">
        <f t="shared" si="1"/>
        <v>200</v>
      </c>
      <c r="J4" s="53">
        <f t="shared" si="1"/>
        <v>150</v>
      </c>
    </row>
    <row r="5" spans="1:10" x14ac:dyDescent="0.25">
      <c r="B5" s="3" t="s">
        <v>221</v>
      </c>
      <c r="C5" s="91">
        <v>6000</v>
      </c>
      <c r="D5" s="53">
        <f t="shared" si="1"/>
        <v>600</v>
      </c>
      <c r="E5" s="53">
        <f t="shared" si="1"/>
        <v>300</v>
      </c>
      <c r="F5" s="53">
        <f t="shared" si="1"/>
        <v>720</v>
      </c>
      <c r="G5" s="53">
        <f t="shared" si="1"/>
        <v>270</v>
      </c>
      <c r="H5" s="53">
        <f t="shared" si="1"/>
        <v>1260</v>
      </c>
      <c r="I5" s="53">
        <f t="shared" si="1"/>
        <v>240</v>
      </c>
      <c r="J5" s="53">
        <f t="shared" si="1"/>
        <v>180</v>
      </c>
    </row>
    <row r="6" spans="1:10" x14ac:dyDescent="0.25">
      <c r="B6" s="3" t="s">
        <v>231</v>
      </c>
      <c r="C6" s="91">
        <v>7500</v>
      </c>
      <c r="D6" s="53">
        <f t="shared" si="1"/>
        <v>750</v>
      </c>
      <c r="E6" s="53">
        <f t="shared" si="1"/>
        <v>375</v>
      </c>
      <c r="F6" s="53">
        <f t="shared" si="1"/>
        <v>900</v>
      </c>
      <c r="G6" s="53">
        <f t="shared" si="1"/>
        <v>337.5</v>
      </c>
      <c r="H6" s="53">
        <f t="shared" si="1"/>
        <v>1575</v>
      </c>
      <c r="I6" s="53">
        <f t="shared" si="1"/>
        <v>300</v>
      </c>
      <c r="J6" s="53">
        <f t="shared" si="1"/>
        <v>225</v>
      </c>
    </row>
    <row r="7" spans="1:10" x14ac:dyDescent="0.25">
      <c r="B7" s="3" t="s">
        <v>259</v>
      </c>
      <c r="C7" s="91">
        <v>8000</v>
      </c>
      <c r="D7" s="53">
        <f t="shared" si="1"/>
        <v>800</v>
      </c>
      <c r="E7" s="53">
        <f t="shared" si="1"/>
        <v>400</v>
      </c>
      <c r="F7" s="53">
        <f t="shared" si="1"/>
        <v>960</v>
      </c>
      <c r="G7" s="53">
        <f t="shared" si="1"/>
        <v>360</v>
      </c>
      <c r="H7" s="53">
        <f t="shared" si="1"/>
        <v>1680</v>
      </c>
      <c r="I7" s="53">
        <f t="shared" si="1"/>
        <v>320</v>
      </c>
      <c r="J7" s="53">
        <f t="shared" si="1"/>
        <v>240</v>
      </c>
    </row>
    <row r="8" spans="1:10" x14ac:dyDescent="0.25">
      <c r="B8" s="3" t="s">
        <v>260</v>
      </c>
      <c r="C8" s="91">
        <v>8000</v>
      </c>
      <c r="D8" s="53">
        <f t="shared" si="1"/>
        <v>800</v>
      </c>
      <c r="E8" s="53">
        <f t="shared" si="1"/>
        <v>400</v>
      </c>
      <c r="F8" s="53">
        <f t="shared" si="1"/>
        <v>960</v>
      </c>
      <c r="G8" s="53">
        <f t="shared" si="1"/>
        <v>360</v>
      </c>
      <c r="H8" s="53">
        <f t="shared" si="1"/>
        <v>1680</v>
      </c>
      <c r="I8" s="53">
        <f t="shared" si="1"/>
        <v>320</v>
      </c>
      <c r="J8" s="53">
        <f t="shared" si="1"/>
        <v>240</v>
      </c>
    </row>
    <row r="9" spans="1:10" x14ac:dyDescent="0.25">
      <c r="B9" s="3" t="s">
        <v>261</v>
      </c>
      <c r="C9" s="91">
        <v>8000</v>
      </c>
      <c r="D9" s="53">
        <f t="shared" si="1"/>
        <v>800</v>
      </c>
      <c r="E9" s="53">
        <f t="shared" si="1"/>
        <v>400</v>
      </c>
      <c r="F9" s="53">
        <f t="shared" si="1"/>
        <v>960</v>
      </c>
      <c r="G9" s="53">
        <f t="shared" si="1"/>
        <v>360</v>
      </c>
      <c r="H9" s="53">
        <f t="shared" si="1"/>
        <v>1680</v>
      </c>
      <c r="I9" s="53">
        <f t="shared" si="1"/>
        <v>320</v>
      </c>
      <c r="J9" s="53">
        <f t="shared" si="1"/>
        <v>240</v>
      </c>
    </row>
    <row r="10" spans="1:10" x14ac:dyDescent="0.25">
      <c r="B10" s="3" t="s">
        <v>564</v>
      </c>
      <c r="C10" s="91">
        <v>10000</v>
      </c>
      <c r="D10" s="53">
        <f t="shared" si="1"/>
        <v>1000</v>
      </c>
      <c r="E10" s="53">
        <f t="shared" si="1"/>
        <v>500</v>
      </c>
      <c r="F10" s="53">
        <f t="shared" si="1"/>
        <v>1200</v>
      </c>
      <c r="G10" s="53">
        <f t="shared" si="1"/>
        <v>450</v>
      </c>
      <c r="H10" s="53">
        <f t="shared" si="1"/>
        <v>2100</v>
      </c>
      <c r="I10" s="53">
        <f t="shared" si="1"/>
        <v>400</v>
      </c>
      <c r="J10" s="53">
        <f t="shared" si="1"/>
        <v>300</v>
      </c>
    </row>
    <row r="11" spans="1:10" x14ac:dyDescent="0.25">
      <c r="B11" s="3" t="s">
        <v>565</v>
      </c>
      <c r="C11" s="91">
        <v>11000</v>
      </c>
      <c r="D11" s="53">
        <f t="shared" si="1"/>
        <v>1100</v>
      </c>
      <c r="E11" s="53">
        <f t="shared" si="1"/>
        <v>550</v>
      </c>
      <c r="F11" s="53">
        <f t="shared" si="1"/>
        <v>1320</v>
      </c>
      <c r="G11" s="53">
        <f t="shared" si="1"/>
        <v>495</v>
      </c>
      <c r="H11" s="53">
        <f t="shared" si="1"/>
        <v>2310</v>
      </c>
      <c r="I11" s="53">
        <f t="shared" si="1"/>
        <v>440</v>
      </c>
      <c r="J11" s="53">
        <f t="shared" si="1"/>
        <v>330</v>
      </c>
    </row>
    <row r="12" spans="1:10" x14ac:dyDescent="0.25">
      <c r="B12" s="3" t="s">
        <v>566</v>
      </c>
      <c r="C12" s="91">
        <v>15000</v>
      </c>
      <c r="D12" s="53">
        <f t="shared" si="1"/>
        <v>1500</v>
      </c>
      <c r="E12" s="53">
        <f t="shared" si="1"/>
        <v>750</v>
      </c>
      <c r="F12" s="53">
        <f t="shared" si="1"/>
        <v>1800</v>
      </c>
      <c r="G12" s="53">
        <f t="shared" si="1"/>
        <v>675</v>
      </c>
      <c r="H12" s="53">
        <f t="shared" si="1"/>
        <v>3150</v>
      </c>
      <c r="I12" s="53">
        <f t="shared" si="1"/>
        <v>600</v>
      </c>
      <c r="J12" s="53">
        <f t="shared" si="1"/>
        <v>450</v>
      </c>
    </row>
    <row r="15" spans="1:10" x14ac:dyDescent="0.25">
      <c r="A15" s="109" t="s">
        <v>567</v>
      </c>
      <c r="B15" s="109"/>
      <c r="D15" s="109" t="s">
        <v>567</v>
      </c>
      <c r="E15" s="109"/>
      <c r="F15" s="109"/>
      <c r="G15" s="109"/>
      <c r="H15" s="109"/>
      <c r="I15" s="109"/>
      <c r="J15" s="109"/>
    </row>
    <row r="16" spans="1:10" x14ac:dyDescent="0.25">
      <c r="A16" s="110" t="s">
        <v>568</v>
      </c>
      <c r="B16" s="188">
        <v>0.1</v>
      </c>
      <c r="D16" s="110" t="s">
        <v>568</v>
      </c>
      <c r="E16" s="110" t="s">
        <v>569</v>
      </c>
      <c r="F16" s="110" t="s">
        <v>570</v>
      </c>
      <c r="G16" s="110" t="s">
        <v>571</v>
      </c>
      <c r="H16" s="110" t="s">
        <v>572</v>
      </c>
      <c r="I16" s="110" t="s">
        <v>573</v>
      </c>
      <c r="J16" s="110" t="s">
        <v>574</v>
      </c>
    </row>
    <row r="17" spans="1:10" x14ac:dyDescent="0.25">
      <c r="A17" s="110" t="s">
        <v>569</v>
      </c>
      <c r="B17" s="188">
        <v>0.05</v>
      </c>
      <c r="D17" s="188">
        <v>0.1</v>
      </c>
      <c r="E17" s="188">
        <v>0.05</v>
      </c>
      <c r="F17" s="188">
        <v>0.12</v>
      </c>
      <c r="G17" s="188">
        <v>4.4999999999999998E-2</v>
      </c>
      <c r="H17" s="188">
        <v>0.21</v>
      </c>
      <c r="I17" s="188">
        <v>0.04</v>
      </c>
      <c r="J17" s="188">
        <v>0.03</v>
      </c>
    </row>
    <row r="18" spans="1:10" x14ac:dyDescent="0.25">
      <c r="A18" s="110" t="s">
        <v>570</v>
      </c>
      <c r="B18" s="188">
        <v>0.12</v>
      </c>
    </row>
    <row r="19" spans="1:10" x14ac:dyDescent="0.25">
      <c r="A19" s="110" t="s">
        <v>571</v>
      </c>
      <c r="B19" s="188">
        <v>4.4999999999999998E-2</v>
      </c>
    </row>
    <row r="20" spans="1:10" x14ac:dyDescent="0.25">
      <c r="A20" s="110" t="s">
        <v>572</v>
      </c>
      <c r="B20" s="188">
        <v>0.21</v>
      </c>
    </row>
    <row r="21" spans="1:10" x14ac:dyDescent="0.25">
      <c r="A21" s="110" t="s">
        <v>573</v>
      </c>
      <c r="B21" s="188">
        <v>0.04</v>
      </c>
    </row>
    <row r="22" spans="1:10" x14ac:dyDescent="0.25">
      <c r="A22" s="110" t="s">
        <v>574</v>
      </c>
      <c r="B22" s="188">
        <v>0.03</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20"/>
  <sheetViews>
    <sheetView workbookViewId="0">
      <selection activeCell="C21" sqref="C21"/>
    </sheetView>
  </sheetViews>
  <sheetFormatPr defaultRowHeight="15" x14ac:dyDescent="0.25"/>
  <cols>
    <col min="1" max="1" width="10.42578125" customWidth="1"/>
  </cols>
  <sheetData>
    <row r="1" spans="1:9" ht="30" x14ac:dyDescent="0.25">
      <c r="A1" s="185" t="s">
        <v>575</v>
      </c>
      <c r="B1" s="186"/>
      <c r="C1" s="186"/>
      <c r="D1" s="186"/>
      <c r="E1" s="186"/>
      <c r="F1" s="186"/>
      <c r="G1" s="186"/>
      <c r="H1" s="186"/>
      <c r="I1" s="187"/>
    </row>
    <row r="3" spans="1:9" x14ac:dyDescent="0.25">
      <c r="A3" s="3"/>
      <c r="B3" s="189" t="s">
        <v>220</v>
      </c>
      <c r="C3" s="189" t="s">
        <v>221</v>
      </c>
      <c r="D3" s="189" t="s">
        <v>231</v>
      </c>
      <c r="E3" s="189" t="s">
        <v>259</v>
      </c>
      <c r="F3" s="189" t="s">
        <v>260</v>
      </c>
      <c r="G3" s="189" t="s">
        <v>261</v>
      </c>
    </row>
    <row r="4" spans="1:9" x14ac:dyDescent="0.25">
      <c r="A4" s="189" t="s">
        <v>105</v>
      </c>
      <c r="B4" s="3">
        <v>100</v>
      </c>
      <c r="C4" s="3">
        <v>200</v>
      </c>
      <c r="D4" s="3">
        <v>300</v>
      </c>
      <c r="E4" s="3">
        <v>400</v>
      </c>
      <c r="F4" s="3">
        <v>500</v>
      </c>
      <c r="G4" s="3">
        <v>600</v>
      </c>
    </row>
    <row r="5" spans="1:9" x14ac:dyDescent="0.25">
      <c r="A5" s="189" t="s">
        <v>576</v>
      </c>
      <c r="B5" s="64"/>
      <c r="C5" s="64"/>
      <c r="D5" s="64"/>
      <c r="E5" s="64"/>
      <c r="F5" s="64"/>
      <c r="G5" s="64"/>
    </row>
    <row r="6" spans="1:9" x14ac:dyDescent="0.25">
      <c r="A6" s="189" t="s">
        <v>577</v>
      </c>
      <c r="B6" s="64"/>
      <c r="C6" s="64"/>
      <c r="D6" s="64"/>
      <c r="E6" s="64"/>
      <c r="F6" s="64"/>
      <c r="G6" s="64"/>
    </row>
    <row r="7" spans="1:9" x14ac:dyDescent="0.25">
      <c r="A7" s="189" t="s">
        <v>578</v>
      </c>
      <c r="B7" s="64"/>
      <c r="C7" s="64"/>
      <c r="D7" s="64"/>
      <c r="E7" s="64"/>
      <c r="F7" s="64"/>
      <c r="G7" s="64"/>
    </row>
    <row r="8" spans="1:9" x14ac:dyDescent="0.25">
      <c r="A8" s="189" t="s">
        <v>579</v>
      </c>
      <c r="B8" s="64"/>
      <c r="C8" s="64"/>
      <c r="D8" s="64"/>
      <c r="E8" s="64"/>
      <c r="F8" s="64"/>
      <c r="G8" s="64"/>
    </row>
    <row r="9" spans="1:9" x14ac:dyDescent="0.25">
      <c r="A9" s="189" t="s">
        <v>580</v>
      </c>
      <c r="B9" s="64"/>
      <c r="C9" s="64"/>
      <c r="D9" s="64"/>
      <c r="E9" s="64"/>
      <c r="F9" s="64"/>
      <c r="G9" s="64"/>
    </row>
    <row r="10" spans="1:9" x14ac:dyDescent="0.25">
      <c r="A10" s="189" t="s">
        <v>581</v>
      </c>
      <c r="B10" s="64"/>
      <c r="C10" s="64"/>
      <c r="D10" s="64"/>
      <c r="E10" s="64"/>
      <c r="F10" s="64"/>
      <c r="G10" s="64"/>
    </row>
    <row r="11" spans="1:9" x14ac:dyDescent="0.25">
      <c r="A11" s="189" t="s">
        <v>582</v>
      </c>
      <c r="B11" s="64"/>
      <c r="C11" s="64"/>
      <c r="D11" s="64"/>
      <c r="E11" s="64"/>
      <c r="F11" s="64"/>
      <c r="G11" s="64"/>
    </row>
    <row r="12" spans="1:9" x14ac:dyDescent="0.25">
      <c r="A12" s="189" t="s">
        <v>583</v>
      </c>
      <c r="B12" s="64"/>
      <c r="C12" s="64"/>
      <c r="D12" s="64"/>
      <c r="E12" s="64"/>
      <c r="F12" s="64"/>
      <c r="G12" s="64"/>
    </row>
    <row r="13" spans="1:9" x14ac:dyDescent="0.25">
      <c r="A13" s="189" t="s">
        <v>584</v>
      </c>
      <c r="B13" s="64"/>
      <c r="C13" s="64"/>
      <c r="D13" s="64"/>
      <c r="E13" s="64"/>
      <c r="F13" s="64"/>
      <c r="G13" s="64"/>
    </row>
    <row r="14" spans="1:9" x14ac:dyDescent="0.25">
      <c r="A14" s="189" t="s">
        <v>585</v>
      </c>
      <c r="B14" s="64"/>
      <c r="C14" s="64"/>
      <c r="D14" s="64"/>
      <c r="E14" s="64"/>
      <c r="F14" s="64"/>
      <c r="G14" s="64"/>
    </row>
    <row r="15" spans="1:9" x14ac:dyDescent="0.25">
      <c r="A15" s="189" t="s">
        <v>586</v>
      </c>
      <c r="B15" s="64"/>
      <c r="C15" s="64"/>
      <c r="D15" s="64"/>
      <c r="E15" s="64"/>
      <c r="F15" s="64"/>
      <c r="G15" s="64"/>
    </row>
    <row r="16" spans="1:9" ht="15.75" thickBot="1" x14ac:dyDescent="0.3">
      <c r="A16" s="190" t="s">
        <v>587</v>
      </c>
      <c r="B16" s="191"/>
      <c r="C16" s="191"/>
      <c r="D16" s="191"/>
      <c r="E16" s="191"/>
      <c r="F16" s="191"/>
      <c r="G16" s="191"/>
    </row>
    <row r="17" spans="1:11" ht="15.75" thickBot="1" x14ac:dyDescent="0.3">
      <c r="A17" s="192" t="s">
        <v>197</v>
      </c>
      <c r="B17" s="193"/>
      <c r="C17" s="193"/>
      <c r="D17" s="193"/>
      <c r="E17" s="193"/>
      <c r="F17" s="193"/>
      <c r="G17" s="193"/>
    </row>
    <row r="18" spans="1:11" ht="15.75" thickTop="1" x14ac:dyDescent="0.25"/>
    <row r="19" spans="1:11" x14ac:dyDescent="0.25">
      <c r="A19" s="66" t="s">
        <v>576</v>
      </c>
      <c r="B19" s="66" t="s">
        <v>577</v>
      </c>
      <c r="C19" s="66" t="s">
        <v>578</v>
      </c>
      <c r="D19" s="66" t="s">
        <v>579</v>
      </c>
      <c r="E19" s="66" t="s">
        <v>580</v>
      </c>
      <c r="F19" s="66" t="s">
        <v>581</v>
      </c>
      <c r="G19" s="66" t="s">
        <v>582</v>
      </c>
      <c r="H19" s="66" t="s">
        <v>583</v>
      </c>
      <c r="I19" s="66" t="s">
        <v>584</v>
      </c>
      <c r="J19" s="66" t="s">
        <v>585</v>
      </c>
      <c r="K19" s="66" t="s">
        <v>586</v>
      </c>
    </row>
    <row r="20" spans="1:11" x14ac:dyDescent="0.25">
      <c r="A20" s="117">
        <v>0.03</v>
      </c>
      <c r="B20" s="117">
        <v>0.04</v>
      </c>
      <c r="C20" s="117">
        <v>0.05</v>
      </c>
      <c r="D20" s="117">
        <v>0.06</v>
      </c>
      <c r="E20" s="117">
        <v>7.0000000000000007E-2</v>
      </c>
      <c r="F20" s="117">
        <v>0.08</v>
      </c>
      <c r="G20" s="117">
        <v>0.09</v>
      </c>
      <c r="H20" s="117">
        <v>0.1</v>
      </c>
      <c r="I20" s="117">
        <v>0.11</v>
      </c>
      <c r="J20" s="117">
        <v>0.12</v>
      </c>
      <c r="K20" s="117">
        <v>0.13</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8"/>
  <sheetViews>
    <sheetView workbookViewId="0">
      <selection activeCell="C21" sqref="C21"/>
    </sheetView>
  </sheetViews>
  <sheetFormatPr defaultRowHeight="15" x14ac:dyDescent="0.25"/>
  <cols>
    <col min="1" max="1" width="10.42578125" customWidth="1"/>
  </cols>
  <sheetData>
    <row r="1" spans="1:10" ht="30" x14ac:dyDescent="0.25">
      <c r="A1" s="185" t="s">
        <v>575</v>
      </c>
      <c r="B1" s="186"/>
      <c r="C1" s="186"/>
      <c r="D1" s="186"/>
      <c r="E1" s="186"/>
      <c r="F1" s="186"/>
      <c r="G1" s="186"/>
      <c r="H1" s="186"/>
      <c r="I1" s="187"/>
    </row>
    <row r="3" spans="1:10" x14ac:dyDescent="0.25">
      <c r="A3" s="3"/>
      <c r="B3" s="189" t="s">
        <v>220</v>
      </c>
      <c r="C3" s="189" t="s">
        <v>221</v>
      </c>
      <c r="D3" s="189" t="s">
        <v>231</v>
      </c>
      <c r="E3" s="189" t="s">
        <v>259</v>
      </c>
      <c r="F3" s="189" t="s">
        <v>260</v>
      </c>
      <c r="G3" s="189" t="s">
        <v>261</v>
      </c>
    </row>
    <row r="4" spans="1:10" x14ac:dyDescent="0.25">
      <c r="A4" s="189" t="s">
        <v>105</v>
      </c>
      <c r="B4" s="164">
        <v>100</v>
      </c>
      <c r="C4" s="164">
        <v>200</v>
      </c>
      <c r="D4" s="164">
        <v>300</v>
      </c>
      <c r="E4" s="164">
        <v>400</v>
      </c>
      <c r="F4" s="164">
        <v>500</v>
      </c>
      <c r="G4" s="164">
        <v>600</v>
      </c>
      <c r="I4" s="194" t="s">
        <v>588</v>
      </c>
      <c r="J4" s="194"/>
    </row>
    <row r="5" spans="1:10" x14ac:dyDescent="0.25">
      <c r="A5" s="189" t="s">
        <v>576</v>
      </c>
      <c r="B5" s="138">
        <f t="shared" ref="B5:G15" si="0">B$4*$J5</f>
        <v>3</v>
      </c>
      <c r="C5" s="138">
        <f t="shared" si="0"/>
        <v>6</v>
      </c>
      <c r="D5" s="138">
        <f t="shared" si="0"/>
        <v>9</v>
      </c>
      <c r="E5" s="138">
        <f t="shared" si="0"/>
        <v>12</v>
      </c>
      <c r="F5" s="138">
        <f t="shared" si="0"/>
        <v>15</v>
      </c>
      <c r="G5" s="138">
        <f t="shared" si="0"/>
        <v>18</v>
      </c>
      <c r="I5" s="3" t="s">
        <v>576</v>
      </c>
      <c r="J5" s="117">
        <v>0.03</v>
      </c>
    </row>
    <row r="6" spans="1:10" x14ac:dyDescent="0.25">
      <c r="A6" s="189" t="s">
        <v>577</v>
      </c>
      <c r="B6" s="138">
        <f t="shared" si="0"/>
        <v>4</v>
      </c>
      <c r="C6" s="138">
        <f t="shared" si="0"/>
        <v>8</v>
      </c>
      <c r="D6" s="138">
        <f t="shared" si="0"/>
        <v>12</v>
      </c>
      <c r="E6" s="138">
        <f t="shared" si="0"/>
        <v>16</v>
      </c>
      <c r="F6" s="138">
        <f t="shared" si="0"/>
        <v>20</v>
      </c>
      <c r="G6" s="138">
        <f t="shared" si="0"/>
        <v>24</v>
      </c>
      <c r="I6" s="3" t="s">
        <v>577</v>
      </c>
      <c r="J6" s="117">
        <v>0.04</v>
      </c>
    </row>
    <row r="7" spans="1:10" x14ac:dyDescent="0.25">
      <c r="A7" s="189" t="s">
        <v>578</v>
      </c>
      <c r="B7" s="138">
        <f t="shared" si="0"/>
        <v>5</v>
      </c>
      <c r="C7" s="138">
        <f t="shared" si="0"/>
        <v>10</v>
      </c>
      <c r="D7" s="138">
        <f t="shared" si="0"/>
        <v>15</v>
      </c>
      <c r="E7" s="138">
        <f t="shared" si="0"/>
        <v>20</v>
      </c>
      <c r="F7" s="138">
        <f t="shared" si="0"/>
        <v>25</v>
      </c>
      <c r="G7" s="138">
        <f t="shared" si="0"/>
        <v>30</v>
      </c>
      <c r="I7" s="3" t="s">
        <v>578</v>
      </c>
      <c r="J7" s="117">
        <v>0.05</v>
      </c>
    </row>
    <row r="8" spans="1:10" x14ac:dyDescent="0.25">
      <c r="A8" s="189" t="s">
        <v>579</v>
      </c>
      <c r="B8" s="138">
        <f t="shared" si="0"/>
        <v>6</v>
      </c>
      <c r="C8" s="138">
        <f t="shared" si="0"/>
        <v>12</v>
      </c>
      <c r="D8" s="138">
        <f t="shared" si="0"/>
        <v>18</v>
      </c>
      <c r="E8" s="138">
        <f t="shared" si="0"/>
        <v>24</v>
      </c>
      <c r="F8" s="138">
        <f t="shared" si="0"/>
        <v>30</v>
      </c>
      <c r="G8" s="138">
        <f t="shared" si="0"/>
        <v>36</v>
      </c>
      <c r="I8" s="3" t="s">
        <v>579</v>
      </c>
      <c r="J8" s="117">
        <v>0.06</v>
      </c>
    </row>
    <row r="9" spans="1:10" x14ac:dyDescent="0.25">
      <c r="A9" s="189" t="s">
        <v>580</v>
      </c>
      <c r="B9" s="138">
        <f t="shared" si="0"/>
        <v>7.0000000000000009</v>
      </c>
      <c r="C9" s="138">
        <f t="shared" si="0"/>
        <v>14.000000000000002</v>
      </c>
      <c r="D9" s="138">
        <f t="shared" si="0"/>
        <v>21.000000000000004</v>
      </c>
      <c r="E9" s="138">
        <f t="shared" si="0"/>
        <v>28.000000000000004</v>
      </c>
      <c r="F9" s="138">
        <f t="shared" si="0"/>
        <v>35</v>
      </c>
      <c r="G9" s="138">
        <f t="shared" si="0"/>
        <v>42.000000000000007</v>
      </c>
      <c r="I9" s="3" t="s">
        <v>580</v>
      </c>
      <c r="J9" s="117">
        <v>7.0000000000000007E-2</v>
      </c>
    </row>
    <row r="10" spans="1:10" x14ac:dyDescent="0.25">
      <c r="A10" s="189" t="s">
        <v>581</v>
      </c>
      <c r="B10" s="138">
        <f t="shared" si="0"/>
        <v>8</v>
      </c>
      <c r="C10" s="138">
        <f t="shared" si="0"/>
        <v>16</v>
      </c>
      <c r="D10" s="138">
        <f t="shared" si="0"/>
        <v>24</v>
      </c>
      <c r="E10" s="138">
        <f t="shared" si="0"/>
        <v>32</v>
      </c>
      <c r="F10" s="138">
        <f t="shared" si="0"/>
        <v>40</v>
      </c>
      <c r="G10" s="138">
        <f t="shared" si="0"/>
        <v>48</v>
      </c>
      <c r="I10" s="3" t="s">
        <v>581</v>
      </c>
      <c r="J10" s="117">
        <v>0.08</v>
      </c>
    </row>
    <row r="11" spans="1:10" x14ac:dyDescent="0.25">
      <c r="A11" s="189" t="s">
        <v>582</v>
      </c>
      <c r="B11" s="138">
        <f t="shared" si="0"/>
        <v>9</v>
      </c>
      <c r="C11" s="138">
        <f t="shared" si="0"/>
        <v>18</v>
      </c>
      <c r="D11" s="138">
        <f t="shared" si="0"/>
        <v>27</v>
      </c>
      <c r="E11" s="138">
        <f t="shared" si="0"/>
        <v>36</v>
      </c>
      <c r="F11" s="138">
        <f t="shared" si="0"/>
        <v>45</v>
      </c>
      <c r="G11" s="138">
        <f t="shared" si="0"/>
        <v>54</v>
      </c>
      <c r="I11" s="3" t="s">
        <v>582</v>
      </c>
      <c r="J11" s="117">
        <v>0.09</v>
      </c>
    </row>
    <row r="12" spans="1:10" x14ac:dyDescent="0.25">
      <c r="A12" s="189" t="s">
        <v>583</v>
      </c>
      <c r="B12" s="138">
        <f t="shared" si="0"/>
        <v>10</v>
      </c>
      <c r="C12" s="138">
        <f t="shared" si="0"/>
        <v>20</v>
      </c>
      <c r="D12" s="138">
        <f t="shared" si="0"/>
        <v>30</v>
      </c>
      <c r="E12" s="138">
        <f t="shared" si="0"/>
        <v>40</v>
      </c>
      <c r="F12" s="138">
        <f t="shared" si="0"/>
        <v>50</v>
      </c>
      <c r="G12" s="138">
        <f t="shared" si="0"/>
        <v>60</v>
      </c>
      <c r="I12" s="3" t="s">
        <v>583</v>
      </c>
      <c r="J12" s="117">
        <v>0.1</v>
      </c>
    </row>
    <row r="13" spans="1:10" x14ac:dyDescent="0.25">
      <c r="A13" s="189" t="s">
        <v>584</v>
      </c>
      <c r="B13" s="138">
        <f t="shared" si="0"/>
        <v>11</v>
      </c>
      <c r="C13" s="138">
        <f t="shared" si="0"/>
        <v>22</v>
      </c>
      <c r="D13" s="138">
        <f t="shared" si="0"/>
        <v>33</v>
      </c>
      <c r="E13" s="138">
        <f t="shared" si="0"/>
        <v>44</v>
      </c>
      <c r="F13" s="138">
        <f t="shared" si="0"/>
        <v>55</v>
      </c>
      <c r="G13" s="138">
        <f t="shared" si="0"/>
        <v>66</v>
      </c>
      <c r="I13" s="3" t="s">
        <v>584</v>
      </c>
      <c r="J13" s="117">
        <v>0.11</v>
      </c>
    </row>
    <row r="14" spans="1:10" x14ac:dyDescent="0.25">
      <c r="A14" s="189" t="s">
        <v>585</v>
      </c>
      <c r="B14" s="138">
        <f t="shared" si="0"/>
        <v>12</v>
      </c>
      <c r="C14" s="138">
        <f t="shared" si="0"/>
        <v>24</v>
      </c>
      <c r="D14" s="138">
        <f t="shared" si="0"/>
        <v>36</v>
      </c>
      <c r="E14" s="138">
        <f t="shared" si="0"/>
        <v>48</v>
      </c>
      <c r="F14" s="138">
        <f t="shared" si="0"/>
        <v>60</v>
      </c>
      <c r="G14" s="138">
        <f t="shared" si="0"/>
        <v>72</v>
      </c>
      <c r="I14" s="3" t="s">
        <v>585</v>
      </c>
      <c r="J14" s="117">
        <v>0.12</v>
      </c>
    </row>
    <row r="15" spans="1:10" ht="15.75" thickBot="1" x14ac:dyDescent="0.3">
      <c r="A15" s="189" t="s">
        <v>586</v>
      </c>
      <c r="B15" s="195">
        <f t="shared" si="0"/>
        <v>13</v>
      </c>
      <c r="C15" s="195">
        <f t="shared" si="0"/>
        <v>26</v>
      </c>
      <c r="D15" s="195">
        <f t="shared" si="0"/>
        <v>39</v>
      </c>
      <c r="E15" s="195">
        <f t="shared" si="0"/>
        <v>52</v>
      </c>
      <c r="F15" s="195">
        <f t="shared" si="0"/>
        <v>65</v>
      </c>
      <c r="G15" s="195">
        <f t="shared" si="0"/>
        <v>78</v>
      </c>
      <c r="I15" s="3" t="s">
        <v>586</v>
      </c>
      <c r="J15" s="117">
        <v>0.13</v>
      </c>
    </row>
    <row r="16" spans="1:10" ht="15.75" thickBot="1" x14ac:dyDescent="0.3">
      <c r="A16" s="190" t="s">
        <v>587</v>
      </c>
      <c r="B16" s="196">
        <f>SUM(B5:B15)</f>
        <v>88</v>
      </c>
      <c r="C16" s="196">
        <f t="shared" ref="C16:G16" si="1">SUM(C5:C15)</f>
        <v>176</v>
      </c>
      <c r="D16" s="196">
        <f t="shared" si="1"/>
        <v>264</v>
      </c>
      <c r="E16" s="196">
        <f t="shared" si="1"/>
        <v>352</v>
      </c>
      <c r="F16" s="196">
        <f t="shared" si="1"/>
        <v>440</v>
      </c>
      <c r="G16" s="196">
        <f t="shared" si="1"/>
        <v>528</v>
      </c>
      <c r="J16" s="197">
        <f>SUM(J5:J15)</f>
        <v>0.88</v>
      </c>
    </row>
    <row r="17" spans="1:7" ht="15.75" thickBot="1" x14ac:dyDescent="0.3">
      <c r="A17" s="192" t="s">
        <v>197</v>
      </c>
      <c r="B17" s="168">
        <f t="shared" ref="B17:G17" si="2">B4-B16</f>
        <v>12</v>
      </c>
      <c r="C17" s="168">
        <f t="shared" si="2"/>
        <v>24</v>
      </c>
      <c r="D17" s="168">
        <f t="shared" si="2"/>
        <v>36</v>
      </c>
      <c r="E17" s="168">
        <f t="shared" si="2"/>
        <v>48</v>
      </c>
      <c r="F17" s="168">
        <f t="shared" si="2"/>
        <v>60</v>
      </c>
      <c r="G17" s="168">
        <f t="shared" si="2"/>
        <v>72</v>
      </c>
    </row>
    <row r="18" spans="1:7" ht="15.75" thickTop="1" x14ac:dyDescent="0.25"/>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18"/>
  <sheetViews>
    <sheetView workbookViewId="0">
      <selection activeCell="C21" sqref="C21"/>
    </sheetView>
  </sheetViews>
  <sheetFormatPr defaultRowHeight="15" x14ac:dyDescent="0.25"/>
  <cols>
    <col min="1" max="1" width="10.42578125" customWidth="1"/>
  </cols>
  <sheetData>
    <row r="1" spans="1:14" ht="45" x14ac:dyDescent="0.25">
      <c r="A1" s="185" t="s">
        <v>589</v>
      </c>
      <c r="B1" s="186"/>
      <c r="C1" s="186"/>
      <c r="D1" s="186"/>
      <c r="E1" s="186"/>
      <c r="F1" s="186"/>
      <c r="G1" s="186"/>
      <c r="H1" s="186"/>
      <c r="I1" s="187"/>
    </row>
    <row r="3" spans="1:14" x14ac:dyDescent="0.25">
      <c r="A3" s="3"/>
      <c r="B3" s="189" t="s">
        <v>220</v>
      </c>
      <c r="C3" s="189" t="s">
        <v>221</v>
      </c>
      <c r="D3" s="189" t="s">
        <v>231</v>
      </c>
      <c r="E3" s="189" t="s">
        <v>259</v>
      </c>
      <c r="F3" s="189" t="s">
        <v>260</v>
      </c>
      <c r="G3" s="189" t="s">
        <v>261</v>
      </c>
      <c r="I3" s="109" t="s">
        <v>588</v>
      </c>
      <c r="J3" s="109"/>
      <c r="L3" t="s">
        <v>590</v>
      </c>
      <c r="N3" t="s">
        <v>591</v>
      </c>
    </row>
    <row r="4" spans="1:14" x14ac:dyDescent="0.25">
      <c r="A4" s="189" t="s">
        <v>105</v>
      </c>
      <c r="B4" s="3">
        <v>100</v>
      </c>
      <c r="C4" s="3">
        <v>200</v>
      </c>
      <c r="D4" s="3">
        <v>300</v>
      </c>
      <c r="E4" s="3">
        <v>400</v>
      </c>
      <c r="F4" s="3">
        <v>500</v>
      </c>
      <c r="G4" s="3">
        <v>600</v>
      </c>
      <c r="I4" s="3" t="s">
        <v>576</v>
      </c>
      <c r="J4" s="117">
        <v>0.03</v>
      </c>
      <c r="L4" t="s">
        <v>592</v>
      </c>
      <c r="N4" t="s">
        <v>593</v>
      </c>
    </row>
    <row r="5" spans="1:14" x14ac:dyDescent="0.25">
      <c r="A5" s="189" t="s">
        <v>576</v>
      </c>
      <c r="B5" s="64"/>
      <c r="C5" s="64"/>
      <c r="D5" s="64"/>
      <c r="E5" s="64"/>
      <c r="F5" s="64"/>
      <c r="G5" s="64"/>
      <c r="I5" s="3" t="s">
        <v>577</v>
      </c>
      <c r="J5" s="117">
        <v>0.04</v>
      </c>
      <c r="L5" t="s">
        <v>594</v>
      </c>
      <c r="N5" t="s">
        <v>595</v>
      </c>
    </row>
    <row r="6" spans="1:14" x14ac:dyDescent="0.25">
      <c r="A6" s="189" t="s">
        <v>577</v>
      </c>
      <c r="B6" s="64"/>
      <c r="C6" s="64"/>
      <c r="D6" s="64"/>
      <c r="E6" s="64"/>
      <c r="F6" s="64"/>
      <c r="G6" s="64"/>
      <c r="I6" s="3" t="s">
        <v>578</v>
      </c>
      <c r="J6" s="117">
        <v>0.05</v>
      </c>
      <c r="L6" t="s">
        <v>596</v>
      </c>
      <c r="N6" t="s">
        <v>592</v>
      </c>
    </row>
    <row r="7" spans="1:14" x14ac:dyDescent="0.25">
      <c r="A7" s="189" t="s">
        <v>578</v>
      </c>
      <c r="B7" s="64"/>
      <c r="C7" s="64"/>
      <c r="D7" s="64"/>
      <c r="E7" s="64"/>
      <c r="F7" s="64"/>
      <c r="G7" s="64"/>
      <c r="I7" s="3" t="s">
        <v>579</v>
      </c>
      <c r="J7" s="117">
        <v>0.06</v>
      </c>
      <c r="L7" t="s">
        <v>597</v>
      </c>
      <c r="N7" t="s">
        <v>594</v>
      </c>
    </row>
    <row r="8" spans="1:14" x14ac:dyDescent="0.25">
      <c r="A8" s="189" t="s">
        <v>579</v>
      </c>
      <c r="B8" s="64"/>
      <c r="C8" s="64"/>
      <c r="D8" s="64"/>
      <c r="E8" s="64"/>
      <c r="F8" s="64"/>
      <c r="G8" s="64"/>
      <c r="I8" s="3" t="s">
        <v>580</v>
      </c>
      <c r="J8" s="117">
        <v>7.0000000000000007E-2</v>
      </c>
      <c r="L8" t="s">
        <v>598</v>
      </c>
      <c r="N8" t="s">
        <v>596</v>
      </c>
    </row>
    <row r="9" spans="1:14" x14ac:dyDescent="0.25">
      <c r="A9" s="189" t="s">
        <v>580</v>
      </c>
      <c r="B9" s="64"/>
      <c r="C9" s="64"/>
      <c r="D9" s="64"/>
      <c r="E9" s="64"/>
      <c r="F9" s="64"/>
      <c r="G9" s="64"/>
      <c r="I9" s="3" t="s">
        <v>581</v>
      </c>
      <c r="J9" s="117">
        <v>0.08</v>
      </c>
      <c r="L9" t="s">
        <v>599</v>
      </c>
      <c r="N9" t="s">
        <v>597</v>
      </c>
    </row>
    <row r="10" spans="1:14" x14ac:dyDescent="0.25">
      <c r="A10" s="189" t="s">
        <v>581</v>
      </c>
      <c r="B10" s="64"/>
      <c r="C10" s="64"/>
      <c r="D10" s="64"/>
      <c r="E10" s="64"/>
      <c r="F10" s="64"/>
      <c r="G10" s="64"/>
      <c r="I10" s="3" t="s">
        <v>582</v>
      </c>
      <c r="J10" s="117">
        <v>0.09</v>
      </c>
      <c r="L10" t="s">
        <v>600</v>
      </c>
      <c r="N10" t="s">
        <v>598</v>
      </c>
    </row>
    <row r="11" spans="1:14" x14ac:dyDescent="0.25">
      <c r="A11" s="189" t="s">
        <v>582</v>
      </c>
      <c r="B11" s="64"/>
      <c r="C11" s="64"/>
      <c r="D11" s="64"/>
      <c r="E11" s="64"/>
      <c r="F11" s="64"/>
      <c r="G11" s="64"/>
      <c r="I11" s="3" t="s">
        <v>583</v>
      </c>
      <c r="J11" s="117">
        <v>0.1</v>
      </c>
      <c r="L11" t="s">
        <v>601</v>
      </c>
      <c r="N11" t="s">
        <v>599</v>
      </c>
    </row>
    <row r="12" spans="1:14" x14ac:dyDescent="0.25">
      <c r="A12" s="189" t="s">
        <v>583</v>
      </c>
      <c r="B12" s="64"/>
      <c r="C12" s="64"/>
      <c r="D12" s="64"/>
      <c r="E12" s="64"/>
      <c r="F12" s="64"/>
      <c r="G12" s="64"/>
      <c r="I12" s="3" t="s">
        <v>584</v>
      </c>
      <c r="J12" s="117">
        <v>0.11</v>
      </c>
      <c r="L12" t="s">
        <v>602</v>
      </c>
      <c r="N12" t="s">
        <v>600</v>
      </c>
    </row>
    <row r="13" spans="1:14" x14ac:dyDescent="0.25">
      <c r="A13" s="189" t="s">
        <v>584</v>
      </c>
      <c r="B13" s="64"/>
      <c r="C13" s="64"/>
      <c r="D13" s="64"/>
      <c r="E13" s="64"/>
      <c r="F13" s="64"/>
      <c r="G13" s="64"/>
      <c r="I13" s="3" t="s">
        <v>585</v>
      </c>
      <c r="J13" s="117">
        <v>0.12</v>
      </c>
      <c r="L13" t="s">
        <v>603</v>
      </c>
      <c r="N13" t="s">
        <v>601</v>
      </c>
    </row>
    <row r="14" spans="1:14" x14ac:dyDescent="0.25">
      <c r="A14" s="189" t="s">
        <v>585</v>
      </c>
      <c r="B14" s="64"/>
      <c r="C14" s="64"/>
      <c r="D14" s="64"/>
      <c r="E14" s="64"/>
      <c r="F14" s="64"/>
      <c r="G14" s="64"/>
      <c r="I14" s="3" t="s">
        <v>586</v>
      </c>
      <c r="J14" s="117">
        <v>0.13</v>
      </c>
      <c r="L14" t="s">
        <v>604</v>
      </c>
      <c r="N14" t="s">
        <v>602</v>
      </c>
    </row>
    <row r="15" spans="1:14" x14ac:dyDescent="0.25">
      <c r="A15" s="189" t="s">
        <v>586</v>
      </c>
      <c r="B15" s="64"/>
      <c r="C15" s="64"/>
      <c r="D15" s="64"/>
      <c r="E15" s="64"/>
      <c r="F15" s="64"/>
      <c r="G15" s="64"/>
    </row>
    <row r="16" spans="1:14" ht="15.75" thickBot="1" x14ac:dyDescent="0.3">
      <c r="A16" s="190" t="s">
        <v>587</v>
      </c>
      <c r="B16" s="191"/>
      <c r="C16" s="191"/>
      <c r="D16" s="191"/>
      <c r="E16" s="191"/>
      <c r="F16" s="191"/>
      <c r="G16" s="191"/>
    </row>
    <row r="17" spans="1:7" ht="15.75" thickBot="1" x14ac:dyDescent="0.3">
      <c r="A17" s="192" t="s">
        <v>197</v>
      </c>
      <c r="B17" s="193"/>
      <c r="C17" s="193"/>
      <c r="D17" s="193"/>
      <c r="E17" s="193"/>
      <c r="F17" s="193"/>
      <c r="G17" s="193"/>
    </row>
    <row r="18" spans="1:7" ht="15.75" thickTop="1" x14ac:dyDescent="0.25"/>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8"/>
  <sheetViews>
    <sheetView workbookViewId="0">
      <selection activeCell="C21" sqref="C21"/>
    </sheetView>
  </sheetViews>
  <sheetFormatPr defaultRowHeight="15" x14ac:dyDescent="0.25"/>
  <cols>
    <col min="1" max="1" width="10.42578125" customWidth="1"/>
  </cols>
  <sheetData>
    <row r="1" spans="1:10" ht="45" x14ac:dyDescent="0.25">
      <c r="A1" s="185" t="s">
        <v>589</v>
      </c>
      <c r="B1" s="186"/>
      <c r="C1" s="186"/>
      <c r="D1" s="186"/>
      <c r="E1" s="186"/>
      <c r="F1" s="186"/>
      <c r="G1" s="186"/>
      <c r="H1" s="186"/>
      <c r="I1" s="187"/>
    </row>
    <row r="3" spans="1:10" x14ac:dyDescent="0.25">
      <c r="A3" s="3"/>
      <c r="B3" s="189" t="s">
        <v>220</v>
      </c>
      <c r="C3" s="189" t="s">
        <v>221</v>
      </c>
      <c r="D3" s="189" t="s">
        <v>231</v>
      </c>
      <c r="E3" s="189" t="s">
        <v>259</v>
      </c>
      <c r="F3" s="189" t="s">
        <v>260</v>
      </c>
      <c r="G3" s="189" t="s">
        <v>261</v>
      </c>
      <c r="I3" s="109" t="s">
        <v>588</v>
      </c>
      <c r="J3" s="109"/>
    </row>
    <row r="4" spans="1:10" x14ac:dyDescent="0.25">
      <c r="A4" s="189" t="s">
        <v>105</v>
      </c>
      <c r="B4" s="164">
        <v>100</v>
      </c>
      <c r="C4" s="164">
        <v>200</v>
      </c>
      <c r="D4" s="164">
        <v>300</v>
      </c>
      <c r="E4" s="164">
        <v>400</v>
      </c>
      <c r="F4" s="164">
        <v>500</v>
      </c>
      <c r="G4" s="164">
        <v>600</v>
      </c>
      <c r="I4" s="3" t="s">
        <v>576</v>
      </c>
      <c r="J4" s="117">
        <v>0.02</v>
      </c>
    </row>
    <row r="5" spans="1:10" x14ac:dyDescent="0.25">
      <c r="A5" s="189" t="s">
        <v>576</v>
      </c>
      <c r="B5" s="138">
        <f t="shared" ref="B5:G15" si="0">B$4*$J4</f>
        <v>2</v>
      </c>
      <c r="C5" s="138">
        <f t="shared" si="0"/>
        <v>4</v>
      </c>
      <c r="D5" s="138">
        <f t="shared" si="0"/>
        <v>6</v>
      </c>
      <c r="E5" s="138">
        <f t="shared" si="0"/>
        <v>8</v>
      </c>
      <c r="F5" s="138">
        <f t="shared" si="0"/>
        <v>10</v>
      </c>
      <c r="G5" s="138">
        <f t="shared" si="0"/>
        <v>12</v>
      </c>
      <c r="I5" s="3" t="s">
        <v>577</v>
      </c>
      <c r="J5" s="117">
        <v>0.03</v>
      </c>
    </row>
    <row r="6" spans="1:10" x14ac:dyDescent="0.25">
      <c r="A6" s="189" t="s">
        <v>577</v>
      </c>
      <c r="B6" s="138">
        <f t="shared" si="0"/>
        <v>3</v>
      </c>
      <c r="C6" s="138">
        <f t="shared" si="0"/>
        <v>6</v>
      </c>
      <c r="D6" s="138">
        <f t="shared" si="0"/>
        <v>9</v>
      </c>
      <c r="E6" s="138">
        <f t="shared" si="0"/>
        <v>12</v>
      </c>
      <c r="F6" s="138">
        <f t="shared" si="0"/>
        <v>15</v>
      </c>
      <c r="G6" s="138">
        <f t="shared" si="0"/>
        <v>18</v>
      </c>
      <c r="I6" s="3" t="s">
        <v>578</v>
      </c>
      <c r="J6" s="117">
        <v>0.04</v>
      </c>
    </row>
    <row r="7" spans="1:10" x14ac:dyDescent="0.25">
      <c r="A7" s="189" t="s">
        <v>578</v>
      </c>
      <c r="B7" s="138">
        <f t="shared" si="0"/>
        <v>4</v>
      </c>
      <c r="C7" s="138">
        <f t="shared" si="0"/>
        <v>8</v>
      </c>
      <c r="D7" s="138">
        <f t="shared" si="0"/>
        <v>12</v>
      </c>
      <c r="E7" s="138">
        <f t="shared" si="0"/>
        <v>16</v>
      </c>
      <c r="F7" s="138">
        <f t="shared" si="0"/>
        <v>20</v>
      </c>
      <c r="G7" s="138">
        <f t="shared" si="0"/>
        <v>24</v>
      </c>
      <c r="I7" s="3" t="s">
        <v>579</v>
      </c>
      <c r="J7" s="117">
        <v>0.05</v>
      </c>
    </row>
    <row r="8" spans="1:10" x14ac:dyDescent="0.25">
      <c r="A8" s="189" t="s">
        <v>579</v>
      </c>
      <c r="B8" s="138">
        <f t="shared" si="0"/>
        <v>5</v>
      </c>
      <c r="C8" s="138">
        <f t="shared" si="0"/>
        <v>10</v>
      </c>
      <c r="D8" s="138">
        <f t="shared" si="0"/>
        <v>15</v>
      </c>
      <c r="E8" s="138">
        <f t="shared" si="0"/>
        <v>20</v>
      </c>
      <c r="F8" s="138">
        <f t="shared" si="0"/>
        <v>25</v>
      </c>
      <c r="G8" s="138">
        <f t="shared" si="0"/>
        <v>30</v>
      </c>
      <c r="I8" s="3" t="s">
        <v>580</v>
      </c>
      <c r="J8" s="117">
        <v>0.06</v>
      </c>
    </row>
    <row r="9" spans="1:10" x14ac:dyDescent="0.25">
      <c r="A9" s="189" t="s">
        <v>580</v>
      </c>
      <c r="B9" s="138">
        <f t="shared" si="0"/>
        <v>6</v>
      </c>
      <c r="C9" s="138">
        <f t="shared" si="0"/>
        <v>12</v>
      </c>
      <c r="D9" s="138">
        <f t="shared" si="0"/>
        <v>18</v>
      </c>
      <c r="E9" s="138">
        <f t="shared" si="0"/>
        <v>24</v>
      </c>
      <c r="F9" s="138">
        <f t="shared" si="0"/>
        <v>30</v>
      </c>
      <c r="G9" s="138">
        <f t="shared" si="0"/>
        <v>36</v>
      </c>
      <c r="I9" s="3" t="s">
        <v>581</v>
      </c>
      <c r="J9" s="117">
        <v>7.0000000000000007E-2</v>
      </c>
    </row>
    <row r="10" spans="1:10" x14ac:dyDescent="0.25">
      <c r="A10" s="189" t="s">
        <v>581</v>
      </c>
      <c r="B10" s="138">
        <f t="shared" si="0"/>
        <v>7.0000000000000009</v>
      </c>
      <c r="C10" s="138">
        <f t="shared" si="0"/>
        <v>14.000000000000002</v>
      </c>
      <c r="D10" s="138">
        <f t="shared" si="0"/>
        <v>21.000000000000004</v>
      </c>
      <c r="E10" s="138">
        <f t="shared" si="0"/>
        <v>28.000000000000004</v>
      </c>
      <c r="F10" s="138">
        <f t="shared" si="0"/>
        <v>35</v>
      </c>
      <c r="G10" s="138">
        <f t="shared" si="0"/>
        <v>42.000000000000007</v>
      </c>
      <c r="I10" s="3" t="s">
        <v>582</v>
      </c>
      <c r="J10" s="117">
        <v>0.08</v>
      </c>
    </row>
    <row r="11" spans="1:10" x14ac:dyDescent="0.25">
      <c r="A11" s="189" t="s">
        <v>582</v>
      </c>
      <c r="B11" s="138">
        <f t="shared" si="0"/>
        <v>8</v>
      </c>
      <c r="C11" s="138">
        <f t="shared" si="0"/>
        <v>16</v>
      </c>
      <c r="D11" s="138">
        <f t="shared" si="0"/>
        <v>24</v>
      </c>
      <c r="E11" s="138">
        <f t="shared" si="0"/>
        <v>32</v>
      </c>
      <c r="F11" s="138">
        <f t="shared" si="0"/>
        <v>40</v>
      </c>
      <c r="G11" s="138">
        <f t="shared" si="0"/>
        <v>48</v>
      </c>
      <c r="I11" s="3" t="s">
        <v>583</v>
      </c>
      <c r="J11" s="117">
        <v>0.09</v>
      </c>
    </row>
    <row r="12" spans="1:10" x14ac:dyDescent="0.25">
      <c r="A12" s="189" t="s">
        <v>583</v>
      </c>
      <c r="B12" s="138">
        <f t="shared" si="0"/>
        <v>9</v>
      </c>
      <c r="C12" s="138">
        <f t="shared" si="0"/>
        <v>18</v>
      </c>
      <c r="D12" s="138">
        <f t="shared" si="0"/>
        <v>27</v>
      </c>
      <c r="E12" s="138">
        <f t="shared" si="0"/>
        <v>36</v>
      </c>
      <c r="F12" s="138">
        <f t="shared" si="0"/>
        <v>45</v>
      </c>
      <c r="G12" s="138">
        <f t="shared" si="0"/>
        <v>54</v>
      </c>
      <c r="I12" s="3" t="s">
        <v>584</v>
      </c>
      <c r="J12" s="117">
        <v>0.1</v>
      </c>
    </row>
    <row r="13" spans="1:10" x14ac:dyDescent="0.25">
      <c r="A13" s="189" t="s">
        <v>584</v>
      </c>
      <c r="B13" s="138">
        <f t="shared" si="0"/>
        <v>10</v>
      </c>
      <c r="C13" s="138">
        <f t="shared" si="0"/>
        <v>20</v>
      </c>
      <c r="D13" s="138">
        <f t="shared" si="0"/>
        <v>30</v>
      </c>
      <c r="E13" s="138">
        <f t="shared" si="0"/>
        <v>40</v>
      </c>
      <c r="F13" s="138">
        <f t="shared" si="0"/>
        <v>50</v>
      </c>
      <c r="G13" s="138">
        <f t="shared" si="0"/>
        <v>60</v>
      </c>
      <c r="I13" s="3" t="s">
        <v>585</v>
      </c>
      <c r="J13" s="117">
        <v>0.11</v>
      </c>
    </row>
    <row r="14" spans="1:10" x14ac:dyDescent="0.25">
      <c r="A14" s="189" t="s">
        <v>585</v>
      </c>
      <c r="B14" s="138">
        <f t="shared" si="0"/>
        <v>11</v>
      </c>
      <c r="C14" s="138">
        <f t="shared" si="0"/>
        <v>22</v>
      </c>
      <c r="D14" s="138">
        <f t="shared" si="0"/>
        <v>33</v>
      </c>
      <c r="E14" s="138">
        <f t="shared" si="0"/>
        <v>44</v>
      </c>
      <c r="F14" s="138">
        <f t="shared" si="0"/>
        <v>55</v>
      </c>
      <c r="G14" s="138">
        <f t="shared" si="0"/>
        <v>66</v>
      </c>
      <c r="I14" s="3" t="s">
        <v>586</v>
      </c>
      <c r="J14" s="117">
        <v>0.12</v>
      </c>
    </row>
    <row r="15" spans="1:10" ht="15.75" thickBot="1" x14ac:dyDescent="0.3">
      <c r="A15" s="189" t="s">
        <v>586</v>
      </c>
      <c r="B15" s="195">
        <f t="shared" si="0"/>
        <v>12</v>
      </c>
      <c r="C15" s="195">
        <f t="shared" si="0"/>
        <v>24</v>
      </c>
      <c r="D15" s="195">
        <f t="shared" si="0"/>
        <v>36</v>
      </c>
      <c r="E15" s="195">
        <f t="shared" si="0"/>
        <v>48</v>
      </c>
      <c r="F15" s="195">
        <f t="shared" si="0"/>
        <v>60</v>
      </c>
      <c r="G15" s="195">
        <f t="shared" si="0"/>
        <v>72</v>
      </c>
    </row>
    <row r="16" spans="1:10" ht="15.75" thickBot="1" x14ac:dyDescent="0.3">
      <c r="A16" s="190" t="s">
        <v>587</v>
      </c>
      <c r="B16" s="196">
        <f t="shared" ref="B16:G16" si="1">SUM(B5:B15)</f>
        <v>77</v>
      </c>
      <c r="C16" s="196">
        <f t="shared" si="1"/>
        <v>154</v>
      </c>
      <c r="D16" s="196">
        <f t="shared" si="1"/>
        <v>231</v>
      </c>
      <c r="E16" s="196">
        <f t="shared" si="1"/>
        <v>308</v>
      </c>
      <c r="F16" s="196">
        <f t="shared" si="1"/>
        <v>385</v>
      </c>
      <c r="G16" s="196">
        <f t="shared" si="1"/>
        <v>462</v>
      </c>
    </row>
    <row r="17" spans="1:7" ht="15.75" thickBot="1" x14ac:dyDescent="0.3">
      <c r="A17" s="192" t="s">
        <v>197</v>
      </c>
      <c r="B17" s="168">
        <f t="shared" ref="B17:G17" si="2">B4-B16</f>
        <v>23</v>
      </c>
      <c r="C17" s="168">
        <f t="shared" si="2"/>
        <v>46</v>
      </c>
      <c r="D17" s="168">
        <f t="shared" si="2"/>
        <v>69</v>
      </c>
      <c r="E17" s="168">
        <f t="shared" si="2"/>
        <v>92</v>
      </c>
      <c r="F17" s="168">
        <f t="shared" si="2"/>
        <v>115</v>
      </c>
      <c r="G17" s="168">
        <f t="shared" si="2"/>
        <v>138</v>
      </c>
    </row>
    <row r="18" spans="1:7" ht="15.75" thickTop="1" x14ac:dyDescent="0.25"/>
  </sheetData>
  <scenarios current="2" show="2">
    <scenario name="Set1AN" locked="1" count="11" user="Michael Girvin" comment="Created by Michael Girvin on 2/16/2011">
      <inputCells r="J4" val="0.03" numFmtId="10"/>
      <inputCells r="J5" val="0.04" numFmtId="10"/>
      <inputCells r="J6" val="0.05" numFmtId="10"/>
      <inputCells r="J7" val="0.06" numFmtId="10"/>
      <inputCells r="J8" val="0.07" numFmtId="10"/>
      <inputCells r="J9" val="0.08" numFmtId="10"/>
      <inputCells r="J10" val="0.09" numFmtId="10"/>
      <inputCells r="J11" val="0.1" numFmtId="10"/>
      <inputCells r="J12" val="0.11" numFmtId="10"/>
      <inputCells r="J13" val="0.12" numFmtId="10"/>
      <inputCells r="J14" val="0.13" numFmtId="10"/>
    </scenario>
    <scenario name="Set2AN" locked="1" count="11" user="Michael Girvin" comment="Created by Michael Girvin on 2/16/2011">
      <inputCells r="J4" val="0.04"/>
      <inputCells r="J5" val="0.05"/>
      <inputCells r="J6" val="0.06"/>
      <inputCells r="J7" val="0.07"/>
      <inputCells r="J8" val="0.08"/>
      <inputCells r="J9" val="0.09"/>
      <inputCells r="J10" val="0.1"/>
      <inputCells r="J11" val="0.11"/>
      <inputCells r="J12" val="0.12"/>
      <inputCells r="J13" val="0.13"/>
      <inputCells r="J14" val="0.14"/>
    </scenario>
    <scenario name="Set3AN" locked="1" count="11" user="Michael Girvin" comment="Created by Michael Girvin on 2/16/2011">
      <inputCells r="J4" val="0.02"/>
      <inputCells r="J5" val="0.03"/>
      <inputCells r="J6" val="0.04"/>
      <inputCells r="J7" val="0.05"/>
      <inputCells r="J8" val="0.06"/>
      <inputCells r="J9" val="0.07"/>
      <inputCells r="J10" val="0.08"/>
      <inputCells r="J11" val="0.09"/>
      <inputCells r="J12" val="0.1"/>
      <inputCells r="J13" val="0.11"/>
      <inputCells r="J14" val="0.12"/>
    </scenario>
  </scenario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1"/>
  <sheetViews>
    <sheetView workbookViewId="0">
      <selection activeCell="C21" sqref="C21"/>
    </sheetView>
  </sheetViews>
  <sheetFormatPr defaultRowHeight="15" x14ac:dyDescent="0.25"/>
  <sheetData>
    <row r="1" spans="1:9" ht="60" x14ac:dyDescent="0.25">
      <c r="A1" s="185" t="s">
        <v>605</v>
      </c>
      <c r="B1" s="186"/>
      <c r="C1" s="186"/>
      <c r="D1" s="186"/>
      <c r="E1" s="186"/>
      <c r="F1" s="186"/>
      <c r="G1" s="186"/>
      <c r="H1" s="186"/>
      <c r="I1" s="187"/>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6"/>
  <sheetViews>
    <sheetView workbookViewId="0">
      <selection activeCell="C21" sqref="C21"/>
    </sheetView>
  </sheetViews>
  <sheetFormatPr defaultRowHeight="15" x14ac:dyDescent="0.25"/>
  <cols>
    <col min="1" max="1" width="20.42578125" bestFit="1" customWidth="1"/>
    <col min="2" max="8" width="12.42578125" customWidth="1"/>
  </cols>
  <sheetData>
    <row r="1" spans="1:9" ht="45" x14ac:dyDescent="0.25">
      <c r="A1" s="185" t="s">
        <v>605</v>
      </c>
      <c r="B1" s="186"/>
      <c r="C1" s="186"/>
      <c r="D1" s="186"/>
      <c r="E1" s="186"/>
      <c r="F1" s="186"/>
      <c r="G1" s="186"/>
      <c r="H1" s="186"/>
      <c r="I1" s="187"/>
    </row>
    <row r="4" spans="1:9" ht="30" x14ac:dyDescent="0.25">
      <c r="A4" s="1" t="s">
        <v>256</v>
      </c>
      <c r="B4" s="1" t="s">
        <v>420</v>
      </c>
      <c r="C4" s="52" t="str">
        <f t="shared" ref="C4:F4" si="0">C9</f>
        <v>Rent</v>
      </c>
      <c r="D4" s="52" t="str">
        <f t="shared" si="0"/>
        <v>Operating Expense</v>
      </c>
      <c r="E4" s="52" t="str">
        <f t="shared" si="0"/>
        <v>Admin Expenses</v>
      </c>
      <c r="F4" s="52" t="str">
        <f t="shared" si="0"/>
        <v>Misc. Expenses</v>
      </c>
      <c r="G4" s="52" t="s">
        <v>258</v>
      </c>
      <c r="H4" s="52" t="s">
        <v>197</v>
      </c>
    </row>
    <row r="5" spans="1:9" x14ac:dyDescent="0.25">
      <c r="A5" s="3" t="s">
        <v>220</v>
      </c>
      <c r="B5" s="91">
        <v>1000</v>
      </c>
      <c r="C5" s="53">
        <f t="shared" ref="C5:F7" si="1">$B5*C$10</f>
        <v>250</v>
      </c>
      <c r="D5" s="53">
        <f t="shared" si="1"/>
        <v>350</v>
      </c>
      <c r="E5" s="53">
        <f t="shared" si="1"/>
        <v>100</v>
      </c>
      <c r="F5" s="53">
        <f t="shared" si="1"/>
        <v>85</v>
      </c>
      <c r="G5" s="198">
        <f t="shared" ref="G5:G7" si="2">SUM(C5:F5)</f>
        <v>785</v>
      </c>
      <c r="H5" s="199">
        <f t="shared" ref="H5:H7" si="3">B5-G5</f>
        <v>215</v>
      </c>
    </row>
    <row r="6" spans="1:9" x14ac:dyDescent="0.25">
      <c r="A6" s="3" t="s">
        <v>221</v>
      </c>
      <c r="B6" s="91">
        <v>2000</v>
      </c>
      <c r="C6" s="53">
        <f t="shared" si="1"/>
        <v>500</v>
      </c>
      <c r="D6" s="53">
        <f t="shared" si="1"/>
        <v>700</v>
      </c>
      <c r="E6" s="53">
        <f t="shared" si="1"/>
        <v>200</v>
      </c>
      <c r="F6" s="53">
        <f t="shared" si="1"/>
        <v>170</v>
      </c>
      <c r="G6" s="198">
        <f t="shared" si="2"/>
        <v>1570</v>
      </c>
      <c r="H6" s="199">
        <f t="shared" si="3"/>
        <v>430</v>
      </c>
    </row>
    <row r="7" spans="1:9" x14ac:dyDescent="0.25">
      <c r="A7" s="3" t="s">
        <v>231</v>
      </c>
      <c r="B7" s="91">
        <v>2500</v>
      </c>
      <c r="C7" s="53">
        <f t="shared" si="1"/>
        <v>625</v>
      </c>
      <c r="D7" s="53">
        <f t="shared" si="1"/>
        <v>875</v>
      </c>
      <c r="E7" s="53">
        <f t="shared" si="1"/>
        <v>250</v>
      </c>
      <c r="F7" s="53">
        <f t="shared" si="1"/>
        <v>212.50000000000003</v>
      </c>
      <c r="G7" s="198">
        <f t="shared" si="2"/>
        <v>1962.5</v>
      </c>
      <c r="H7" s="199">
        <f t="shared" si="3"/>
        <v>537.5</v>
      </c>
    </row>
    <row r="9" spans="1:9" ht="30" x14ac:dyDescent="0.25">
      <c r="C9" s="200" t="s">
        <v>606</v>
      </c>
      <c r="D9" s="200" t="s">
        <v>607</v>
      </c>
      <c r="E9" s="200" t="s">
        <v>608</v>
      </c>
      <c r="F9" s="200" t="s">
        <v>609</v>
      </c>
    </row>
    <row r="10" spans="1:9" x14ac:dyDescent="0.25">
      <c r="C10" s="139">
        <v>0.25</v>
      </c>
      <c r="D10" s="139">
        <v>0.35</v>
      </c>
      <c r="E10" s="139">
        <v>0.1</v>
      </c>
      <c r="F10" s="139">
        <v>8.5000000000000006E-2</v>
      </c>
    </row>
    <row r="11" spans="1:9" x14ac:dyDescent="0.25">
      <c r="C11" s="201"/>
      <c r="D11" s="201"/>
      <c r="E11" s="201"/>
      <c r="F11" s="201"/>
    </row>
    <row r="12" spans="1:9" x14ac:dyDescent="0.25">
      <c r="A12" t="s">
        <v>138</v>
      </c>
      <c r="C12" s="201"/>
      <c r="D12" s="201"/>
      <c r="E12" s="201"/>
      <c r="F12" s="201"/>
    </row>
    <row r="14" spans="1:9" x14ac:dyDescent="0.25">
      <c r="B14" s="78" t="s">
        <v>220</v>
      </c>
      <c r="C14" s="78" t="s">
        <v>221</v>
      </c>
      <c r="D14" s="78" t="s">
        <v>231</v>
      </c>
    </row>
    <row r="15" spans="1:9" x14ac:dyDescent="0.25">
      <c r="A15" s="78" t="s">
        <v>420</v>
      </c>
      <c r="B15" s="91">
        <v>1000</v>
      </c>
      <c r="C15" s="91">
        <v>2000</v>
      </c>
      <c r="D15" s="91">
        <v>2500</v>
      </c>
    </row>
    <row r="16" spans="1:9" x14ac:dyDescent="0.25">
      <c r="A16" s="78" t="str">
        <f>A23</f>
        <v>Rent</v>
      </c>
      <c r="B16" s="91">
        <f t="shared" ref="B16:D19" si="4">B$15*$B23</f>
        <v>250</v>
      </c>
      <c r="C16" s="91">
        <f t="shared" si="4"/>
        <v>500</v>
      </c>
      <c r="D16" s="91">
        <f t="shared" si="4"/>
        <v>625</v>
      </c>
    </row>
    <row r="17" spans="1:4" x14ac:dyDescent="0.25">
      <c r="A17" s="78" t="str">
        <f>A24</f>
        <v>Operating Expense</v>
      </c>
      <c r="B17" s="91">
        <f t="shared" si="4"/>
        <v>350</v>
      </c>
      <c r="C17" s="91">
        <f t="shared" si="4"/>
        <v>700</v>
      </c>
      <c r="D17" s="91">
        <f t="shared" si="4"/>
        <v>875</v>
      </c>
    </row>
    <row r="18" spans="1:4" x14ac:dyDescent="0.25">
      <c r="A18" s="78" t="str">
        <f>A25</f>
        <v>Admin Expenses</v>
      </c>
      <c r="B18" s="91">
        <f t="shared" si="4"/>
        <v>100</v>
      </c>
      <c r="C18" s="91">
        <f t="shared" si="4"/>
        <v>200</v>
      </c>
      <c r="D18" s="91">
        <f t="shared" si="4"/>
        <v>250</v>
      </c>
    </row>
    <row r="19" spans="1:4" x14ac:dyDescent="0.25">
      <c r="A19" s="78" t="str">
        <f>A26</f>
        <v>Misc. Expenses</v>
      </c>
      <c r="B19" s="91">
        <f t="shared" si="4"/>
        <v>85</v>
      </c>
      <c r="C19" s="91">
        <f t="shared" si="4"/>
        <v>170</v>
      </c>
      <c r="D19" s="91">
        <f t="shared" si="4"/>
        <v>212.50000000000003</v>
      </c>
    </row>
    <row r="20" spans="1:4" x14ac:dyDescent="0.25">
      <c r="A20" s="78" t="s">
        <v>258</v>
      </c>
      <c r="B20" s="91">
        <f>SUM(B16:B19)</f>
        <v>785</v>
      </c>
      <c r="C20" s="91">
        <f>SUM(C16:C19)</f>
        <v>1570</v>
      </c>
      <c r="D20" s="91">
        <f>SUM(D16:D19)</f>
        <v>1962.5</v>
      </c>
    </row>
    <row r="21" spans="1:4" x14ac:dyDescent="0.25">
      <c r="A21" s="78" t="s">
        <v>197</v>
      </c>
      <c r="B21" s="91">
        <f>B15-B20</f>
        <v>215</v>
      </c>
      <c r="C21" s="91">
        <f>C15-C20</f>
        <v>430</v>
      </c>
      <c r="D21" s="91">
        <f>D15-D20</f>
        <v>537.5</v>
      </c>
    </row>
    <row r="23" spans="1:4" x14ac:dyDescent="0.25">
      <c r="A23" s="158" t="s">
        <v>606</v>
      </c>
      <c r="B23" s="139">
        <v>0.25</v>
      </c>
    </row>
    <row r="24" spans="1:4" x14ac:dyDescent="0.25">
      <c r="A24" s="158" t="s">
        <v>607</v>
      </c>
      <c r="B24" s="139">
        <v>0.35</v>
      </c>
    </row>
    <row r="25" spans="1:4" x14ac:dyDescent="0.25">
      <c r="A25" s="158" t="s">
        <v>608</v>
      </c>
      <c r="B25" s="139">
        <v>0.1</v>
      </c>
    </row>
    <row r="26" spans="1:4" x14ac:dyDescent="0.25">
      <c r="A26" s="158" t="s">
        <v>609</v>
      </c>
      <c r="B26" s="139">
        <v>8.5000000000000006E-2</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52"/>
  <sheetViews>
    <sheetView workbookViewId="0">
      <selection activeCell="C21" sqref="C21"/>
    </sheetView>
  </sheetViews>
  <sheetFormatPr defaultColWidth="17.140625" defaultRowHeight="15" x14ac:dyDescent="0.25"/>
  <cols>
    <col min="1" max="1" width="11.85546875" bestFit="1" customWidth="1"/>
    <col min="2" max="2" width="9.85546875" bestFit="1" customWidth="1"/>
    <col min="3" max="3" width="11" bestFit="1" customWidth="1"/>
    <col min="257" max="257" width="11.85546875" bestFit="1" customWidth="1"/>
    <col min="258" max="258" width="10.5703125" bestFit="1" customWidth="1"/>
    <col min="513" max="513" width="11.85546875" bestFit="1" customWidth="1"/>
    <col min="514" max="514" width="10.5703125" bestFit="1" customWidth="1"/>
    <col min="769" max="769" width="11.85546875" bestFit="1" customWidth="1"/>
    <col min="770" max="770" width="10.5703125" bestFit="1" customWidth="1"/>
    <col min="1025" max="1025" width="11.85546875" bestFit="1" customWidth="1"/>
    <col min="1026" max="1026" width="10.5703125" bestFit="1" customWidth="1"/>
    <col min="1281" max="1281" width="11.85546875" bestFit="1" customWidth="1"/>
    <col min="1282" max="1282" width="10.5703125" bestFit="1" customWidth="1"/>
    <col min="1537" max="1537" width="11.85546875" bestFit="1" customWidth="1"/>
    <col min="1538" max="1538" width="10.5703125" bestFit="1" customWidth="1"/>
    <col min="1793" max="1793" width="11.85546875" bestFit="1" customWidth="1"/>
    <col min="1794" max="1794" width="10.5703125" bestFit="1" customWidth="1"/>
    <col min="2049" max="2049" width="11.85546875" bestFit="1" customWidth="1"/>
    <col min="2050" max="2050" width="10.5703125" bestFit="1" customWidth="1"/>
    <col min="2305" max="2305" width="11.85546875" bestFit="1" customWidth="1"/>
    <col min="2306" max="2306" width="10.5703125" bestFit="1" customWidth="1"/>
    <col min="2561" max="2561" width="11.85546875" bestFit="1" customWidth="1"/>
    <col min="2562" max="2562" width="10.5703125" bestFit="1" customWidth="1"/>
    <col min="2817" max="2817" width="11.85546875" bestFit="1" customWidth="1"/>
    <col min="2818" max="2818" width="10.5703125" bestFit="1" customWidth="1"/>
    <col min="3073" max="3073" width="11.85546875" bestFit="1" customWidth="1"/>
    <col min="3074" max="3074" width="10.5703125" bestFit="1" customWidth="1"/>
    <col min="3329" max="3329" width="11.85546875" bestFit="1" customWidth="1"/>
    <col min="3330" max="3330" width="10.5703125" bestFit="1" customWidth="1"/>
    <col min="3585" max="3585" width="11.85546875" bestFit="1" customWidth="1"/>
    <col min="3586" max="3586" width="10.5703125" bestFit="1" customWidth="1"/>
    <col min="3841" max="3841" width="11.85546875" bestFit="1" customWidth="1"/>
    <col min="3842" max="3842" width="10.5703125" bestFit="1" customWidth="1"/>
    <col min="4097" max="4097" width="11.85546875" bestFit="1" customWidth="1"/>
    <col min="4098" max="4098" width="10.5703125" bestFit="1" customWidth="1"/>
    <col min="4353" max="4353" width="11.85546875" bestFit="1" customWidth="1"/>
    <col min="4354" max="4354" width="10.5703125" bestFit="1" customWidth="1"/>
    <col min="4609" max="4609" width="11.85546875" bestFit="1" customWidth="1"/>
    <col min="4610" max="4610" width="10.5703125" bestFit="1" customWidth="1"/>
    <col min="4865" max="4865" width="11.85546875" bestFit="1" customWidth="1"/>
    <col min="4866" max="4866" width="10.5703125" bestFit="1" customWidth="1"/>
    <col min="5121" max="5121" width="11.85546875" bestFit="1" customWidth="1"/>
    <col min="5122" max="5122" width="10.5703125" bestFit="1" customWidth="1"/>
    <col min="5377" max="5377" width="11.85546875" bestFit="1" customWidth="1"/>
    <col min="5378" max="5378" width="10.5703125" bestFit="1" customWidth="1"/>
    <col min="5633" max="5633" width="11.85546875" bestFit="1" customWidth="1"/>
    <col min="5634" max="5634" width="10.5703125" bestFit="1" customWidth="1"/>
    <col min="5889" max="5889" width="11.85546875" bestFit="1" customWidth="1"/>
    <col min="5890" max="5890" width="10.5703125" bestFit="1" customWidth="1"/>
    <col min="6145" max="6145" width="11.85546875" bestFit="1" customWidth="1"/>
    <col min="6146" max="6146" width="10.5703125" bestFit="1" customWidth="1"/>
    <col min="6401" max="6401" width="11.85546875" bestFit="1" customWidth="1"/>
    <col min="6402" max="6402" width="10.5703125" bestFit="1" customWidth="1"/>
    <col min="6657" max="6657" width="11.85546875" bestFit="1" customWidth="1"/>
    <col min="6658" max="6658" width="10.5703125" bestFit="1" customWidth="1"/>
    <col min="6913" max="6913" width="11.85546875" bestFit="1" customWidth="1"/>
    <col min="6914" max="6914" width="10.5703125" bestFit="1" customWidth="1"/>
    <col min="7169" max="7169" width="11.85546875" bestFit="1" customWidth="1"/>
    <col min="7170" max="7170" width="10.5703125" bestFit="1" customWidth="1"/>
    <col min="7425" max="7425" width="11.85546875" bestFit="1" customWidth="1"/>
    <col min="7426" max="7426" width="10.5703125" bestFit="1" customWidth="1"/>
    <col min="7681" max="7681" width="11.85546875" bestFit="1" customWidth="1"/>
    <col min="7682" max="7682" width="10.5703125" bestFit="1" customWidth="1"/>
    <col min="7937" max="7937" width="11.85546875" bestFit="1" customWidth="1"/>
    <col min="7938" max="7938" width="10.5703125" bestFit="1" customWidth="1"/>
    <col min="8193" max="8193" width="11.85546875" bestFit="1" customWidth="1"/>
    <col min="8194" max="8194" width="10.5703125" bestFit="1" customWidth="1"/>
    <col min="8449" max="8449" width="11.85546875" bestFit="1" customWidth="1"/>
    <col min="8450" max="8450" width="10.5703125" bestFit="1" customWidth="1"/>
    <col min="8705" max="8705" width="11.85546875" bestFit="1" customWidth="1"/>
    <col min="8706" max="8706" width="10.5703125" bestFit="1" customWidth="1"/>
    <col min="8961" max="8961" width="11.85546875" bestFit="1" customWidth="1"/>
    <col min="8962" max="8962" width="10.5703125" bestFit="1" customWidth="1"/>
    <col min="9217" max="9217" width="11.85546875" bestFit="1" customWidth="1"/>
    <col min="9218" max="9218" width="10.5703125" bestFit="1" customWidth="1"/>
    <col min="9473" max="9473" width="11.85546875" bestFit="1" customWidth="1"/>
    <col min="9474" max="9474" width="10.5703125" bestFit="1" customWidth="1"/>
    <col min="9729" max="9729" width="11.85546875" bestFit="1" customWidth="1"/>
    <col min="9730" max="9730" width="10.5703125" bestFit="1" customWidth="1"/>
    <col min="9985" max="9985" width="11.85546875" bestFit="1" customWidth="1"/>
    <col min="9986" max="9986" width="10.5703125" bestFit="1" customWidth="1"/>
    <col min="10241" max="10241" width="11.85546875" bestFit="1" customWidth="1"/>
    <col min="10242" max="10242" width="10.5703125" bestFit="1" customWidth="1"/>
    <col min="10497" max="10497" width="11.85546875" bestFit="1" customWidth="1"/>
    <col min="10498" max="10498" width="10.5703125" bestFit="1" customWidth="1"/>
    <col min="10753" max="10753" width="11.85546875" bestFit="1" customWidth="1"/>
    <col min="10754" max="10754" width="10.5703125" bestFit="1" customWidth="1"/>
    <col min="11009" max="11009" width="11.85546875" bestFit="1" customWidth="1"/>
    <col min="11010" max="11010" width="10.5703125" bestFit="1" customWidth="1"/>
    <col min="11265" max="11265" width="11.85546875" bestFit="1" customWidth="1"/>
    <col min="11266" max="11266" width="10.5703125" bestFit="1" customWidth="1"/>
    <col min="11521" max="11521" width="11.85546875" bestFit="1" customWidth="1"/>
    <col min="11522" max="11522" width="10.5703125" bestFit="1" customWidth="1"/>
    <col min="11777" max="11777" width="11.85546875" bestFit="1" customWidth="1"/>
    <col min="11778" max="11778" width="10.5703125" bestFit="1" customWidth="1"/>
    <col min="12033" max="12033" width="11.85546875" bestFit="1" customWidth="1"/>
    <col min="12034" max="12034" width="10.5703125" bestFit="1" customWidth="1"/>
    <col min="12289" max="12289" width="11.85546875" bestFit="1" customWidth="1"/>
    <col min="12290" max="12290" width="10.5703125" bestFit="1" customWidth="1"/>
    <col min="12545" max="12545" width="11.85546875" bestFit="1" customWidth="1"/>
    <col min="12546" max="12546" width="10.5703125" bestFit="1" customWidth="1"/>
    <col min="12801" max="12801" width="11.85546875" bestFit="1" customWidth="1"/>
    <col min="12802" max="12802" width="10.5703125" bestFit="1" customWidth="1"/>
    <col min="13057" max="13057" width="11.85546875" bestFit="1" customWidth="1"/>
    <col min="13058" max="13058" width="10.5703125" bestFit="1" customWidth="1"/>
    <col min="13313" max="13313" width="11.85546875" bestFit="1" customWidth="1"/>
    <col min="13314" max="13314" width="10.5703125" bestFit="1" customWidth="1"/>
    <col min="13569" max="13569" width="11.85546875" bestFit="1" customWidth="1"/>
    <col min="13570" max="13570" width="10.5703125" bestFit="1" customWidth="1"/>
    <col min="13825" max="13825" width="11.85546875" bestFit="1" customWidth="1"/>
    <col min="13826" max="13826" width="10.5703125" bestFit="1" customWidth="1"/>
    <col min="14081" max="14081" width="11.85546875" bestFit="1" customWidth="1"/>
    <col min="14082" max="14082" width="10.5703125" bestFit="1" customWidth="1"/>
    <col min="14337" max="14337" width="11.85546875" bestFit="1" customWidth="1"/>
    <col min="14338" max="14338" width="10.5703125" bestFit="1" customWidth="1"/>
    <col min="14593" max="14593" width="11.85546875" bestFit="1" customWidth="1"/>
    <col min="14594" max="14594" width="10.5703125" bestFit="1" customWidth="1"/>
    <col min="14849" max="14849" width="11.85546875" bestFit="1" customWidth="1"/>
    <col min="14850" max="14850" width="10.5703125" bestFit="1" customWidth="1"/>
    <col min="15105" max="15105" width="11.85546875" bestFit="1" customWidth="1"/>
    <col min="15106" max="15106" width="10.5703125" bestFit="1" customWidth="1"/>
    <col min="15361" max="15361" width="11.85546875" bestFit="1" customWidth="1"/>
    <col min="15362" max="15362" width="10.5703125" bestFit="1" customWidth="1"/>
    <col min="15617" max="15617" width="11.85546875" bestFit="1" customWidth="1"/>
    <col min="15618" max="15618" width="10.5703125" bestFit="1" customWidth="1"/>
    <col min="15873" max="15873" width="11.85546875" bestFit="1" customWidth="1"/>
    <col min="15874" max="15874" width="10.5703125" bestFit="1" customWidth="1"/>
    <col min="16129" max="16129" width="11.85546875" bestFit="1" customWidth="1"/>
    <col min="16130" max="16130" width="10.5703125" bestFit="1" customWidth="1"/>
  </cols>
  <sheetData>
    <row r="1" spans="1:5" ht="30" x14ac:dyDescent="0.25">
      <c r="A1" s="155" t="s">
        <v>610</v>
      </c>
      <c r="B1" s="155"/>
      <c r="C1" s="155"/>
      <c r="D1" s="155"/>
      <c r="E1" s="155"/>
    </row>
    <row r="4" spans="1:5" ht="45" x14ac:dyDescent="0.25">
      <c r="A4" s="110" t="s">
        <v>104</v>
      </c>
      <c r="B4" s="110" t="s">
        <v>105</v>
      </c>
      <c r="C4" s="111" t="s">
        <v>688</v>
      </c>
    </row>
    <row r="5" spans="1:5" x14ac:dyDescent="0.25">
      <c r="A5" s="3" t="s">
        <v>275</v>
      </c>
      <c r="B5" s="91">
        <v>1161</v>
      </c>
      <c r="C5" s="112"/>
    </row>
    <row r="6" spans="1:5" x14ac:dyDescent="0.25">
      <c r="A6" s="3" t="s">
        <v>276</v>
      </c>
      <c r="B6" s="91">
        <v>1321</v>
      </c>
      <c r="C6" s="112"/>
    </row>
    <row r="7" spans="1:5" x14ac:dyDescent="0.25">
      <c r="A7" s="3" t="s">
        <v>277</v>
      </c>
      <c r="B7" s="91">
        <v>1039</v>
      </c>
      <c r="C7" s="112"/>
    </row>
    <row r="8" spans="1:5" x14ac:dyDescent="0.25">
      <c r="A8" s="3" t="s">
        <v>278</v>
      </c>
      <c r="B8" s="91">
        <v>1761</v>
      </c>
      <c r="C8" s="112"/>
    </row>
    <row r="9" spans="1:5" x14ac:dyDescent="0.25">
      <c r="A9" s="3" t="s">
        <v>279</v>
      </c>
      <c r="B9" s="91">
        <v>1561</v>
      </c>
      <c r="C9" s="112"/>
    </row>
    <row r="10" spans="1:5" x14ac:dyDescent="0.25">
      <c r="A10" s="3" t="s">
        <v>280</v>
      </c>
      <c r="B10" s="91">
        <v>1868</v>
      </c>
      <c r="C10" s="112"/>
    </row>
    <row r="11" spans="1:5" x14ac:dyDescent="0.25">
      <c r="A11" s="3" t="s">
        <v>281</v>
      </c>
      <c r="B11" s="91">
        <v>2787</v>
      </c>
      <c r="C11" s="112"/>
    </row>
    <row r="12" spans="1:5" x14ac:dyDescent="0.25">
      <c r="A12" s="3" t="s">
        <v>282</v>
      </c>
      <c r="B12" s="91">
        <v>1849</v>
      </c>
      <c r="C12" s="112"/>
    </row>
    <row r="13" spans="1:5" x14ac:dyDescent="0.25">
      <c r="A13" s="3" t="s">
        <v>283</v>
      </c>
      <c r="B13" s="91">
        <v>2627</v>
      </c>
      <c r="C13" s="112"/>
    </row>
    <row r="14" spans="1:5" x14ac:dyDescent="0.25">
      <c r="A14" s="3" t="s">
        <v>284</v>
      </c>
      <c r="B14" s="91">
        <v>2165</v>
      </c>
      <c r="C14" s="112"/>
    </row>
    <row r="15" spans="1:5" x14ac:dyDescent="0.25">
      <c r="A15" s="3" t="s">
        <v>285</v>
      </c>
      <c r="B15" s="91">
        <v>1589</v>
      </c>
      <c r="C15" s="112"/>
    </row>
    <row r="16" spans="1:5" x14ac:dyDescent="0.25">
      <c r="A16" s="3" t="s">
        <v>286</v>
      </c>
      <c r="B16" s="91">
        <v>2603</v>
      </c>
      <c r="C16" s="112"/>
    </row>
    <row r="17" spans="1:3" x14ac:dyDescent="0.25">
      <c r="A17" s="3" t="s">
        <v>287</v>
      </c>
      <c r="B17" s="91">
        <v>2366</v>
      </c>
      <c r="C17" s="112"/>
    </row>
    <row r="18" spans="1:3" x14ac:dyDescent="0.25">
      <c r="A18" s="3" t="s">
        <v>288</v>
      </c>
      <c r="B18" s="91">
        <v>2107</v>
      </c>
      <c r="C18" s="112"/>
    </row>
    <row r="19" spans="1:3" x14ac:dyDescent="0.25">
      <c r="A19" s="3" t="s">
        <v>289</v>
      </c>
      <c r="B19" s="91">
        <v>2886</v>
      </c>
      <c r="C19" s="112"/>
    </row>
    <row r="20" spans="1:3" x14ac:dyDescent="0.25">
      <c r="A20" s="3" t="s">
        <v>290</v>
      </c>
      <c r="B20" s="91">
        <v>1886</v>
      </c>
      <c r="C20" s="112"/>
    </row>
    <row r="21" spans="1:3" x14ac:dyDescent="0.25">
      <c r="A21" s="3" t="s">
        <v>291</v>
      </c>
      <c r="B21" s="91">
        <v>2177</v>
      </c>
      <c r="C21" s="112"/>
    </row>
    <row r="22" spans="1:3" x14ac:dyDescent="0.25">
      <c r="A22" s="3" t="s">
        <v>292</v>
      </c>
      <c r="B22" s="91">
        <v>1873</v>
      </c>
      <c r="C22" s="112"/>
    </row>
    <row r="23" spans="1:3" x14ac:dyDescent="0.25">
      <c r="A23" s="3" t="s">
        <v>293</v>
      </c>
      <c r="B23" s="91">
        <v>2164</v>
      </c>
      <c r="C23" s="112"/>
    </row>
    <row r="24" spans="1:3" x14ac:dyDescent="0.25">
      <c r="A24" s="3" t="s">
        <v>294</v>
      </c>
      <c r="B24" s="91">
        <v>1394</v>
      </c>
      <c r="C24" s="112"/>
    </row>
    <row r="25" spans="1:3" x14ac:dyDescent="0.25">
      <c r="A25" s="3" t="s">
        <v>295</v>
      </c>
      <c r="B25" s="91">
        <v>2263</v>
      </c>
      <c r="C25" s="112"/>
    </row>
    <row r="26" spans="1:3" x14ac:dyDescent="0.25">
      <c r="A26" s="3" t="s">
        <v>296</v>
      </c>
      <c r="B26" s="91">
        <v>2242</v>
      </c>
      <c r="C26" s="112"/>
    </row>
    <row r="27" spans="1:3" x14ac:dyDescent="0.25">
      <c r="A27" s="3" t="s">
        <v>297</v>
      </c>
      <c r="B27" s="91">
        <v>1474</v>
      </c>
      <c r="C27" s="112"/>
    </row>
    <row r="28" spans="1:3" x14ac:dyDescent="0.25">
      <c r="A28" s="3" t="s">
        <v>298</v>
      </c>
      <c r="B28" s="91">
        <v>1998</v>
      </c>
      <c r="C28" s="112"/>
    </row>
    <row r="29" spans="1:3" x14ac:dyDescent="0.25">
      <c r="A29" s="3" t="s">
        <v>299</v>
      </c>
      <c r="B29" s="91">
        <v>2892</v>
      </c>
      <c r="C29" s="112"/>
    </row>
    <row r="30" spans="1:3" x14ac:dyDescent="0.25">
      <c r="A30" s="3" t="s">
        <v>300</v>
      </c>
      <c r="B30" s="91">
        <v>1873</v>
      </c>
      <c r="C30" s="112"/>
    </row>
    <row r="31" spans="1:3" x14ac:dyDescent="0.25">
      <c r="A31" s="3" t="s">
        <v>301</v>
      </c>
      <c r="B31" s="91">
        <v>1954</v>
      </c>
      <c r="C31" s="112"/>
    </row>
    <row r="32" spans="1:3" x14ac:dyDescent="0.25">
      <c r="A32" s="3" t="s">
        <v>118</v>
      </c>
      <c r="B32" s="91">
        <v>1729</v>
      </c>
      <c r="C32" s="112"/>
    </row>
    <row r="33" spans="1:3" x14ac:dyDescent="0.25">
      <c r="A33" s="3" t="s">
        <v>302</v>
      </c>
      <c r="B33" s="91">
        <v>1140</v>
      </c>
      <c r="C33" s="112"/>
    </row>
    <row r="34" spans="1:3" x14ac:dyDescent="0.25">
      <c r="A34" s="3" t="s">
        <v>303</v>
      </c>
      <c r="B34" s="91">
        <v>1528</v>
      </c>
      <c r="C34" s="112"/>
    </row>
    <row r="35" spans="1:3" x14ac:dyDescent="0.25">
      <c r="A35" s="3" t="s">
        <v>304</v>
      </c>
      <c r="B35" s="91">
        <v>1659</v>
      </c>
      <c r="C35" s="112"/>
    </row>
    <row r="36" spans="1:3" x14ac:dyDescent="0.25">
      <c r="A36" s="3" t="s">
        <v>305</v>
      </c>
      <c r="B36" s="91">
        <v>2119</v>
      </c>
      <c r="C36" s="112"/>
    </row>
    <row r="37" spans="1:3" x14ac:dyDescent="0.25">
      <c r="A37" s="3" t="s">
        <v>306</v>
      </c>
      <c r="B37" s="91">
        <v>1854</v>
      </c>
      <c r="C37" s="112"/>
    </row>
    <row r="38" spans="1:3" x14ac:dyDescent="0.25">
      <c r="A38" s="3" t="s">
        <v>307</v>
      </c>
      <c r="B38" s="91">
        <v>2759</v>
      </c>
      <c r="C38" s="112"/>
    </row>
    <row r="39" spans="1:3" x14ac:dyDescent="0.25">
      <c r="A39" s="3" t="s">
        <v>308</v>
      </c>
      <c r="B39" s="91">
        <v>1237</v>
      </c>
      <c r="C39" s="112"/>
    </row>
    <row r="40" spans="1:3" x14ac:dyDescent="0.25">
      <c r="A40" s="3" t="s">
        <v>109</v>
      </c>
      <c r="B40" s="91">
        <v>1653</v>
      </c>
      <c r="C40" s="112"/>
    </row>
    <row r="41" spans="1:3" x14ac:dyDescent="0.25">
      <c r="A41" s="3" t="s">
        <v>309</v>
      </c>
      <c r="B41" s="91">
        <v>2604</v>
      </c>
      <c r="C41" s="112"/>
    </row>
    <row r="42" spans="1:3" x14ac:dyDescent="0.25">
      <c r="A42" s="3" t="s">
        <v>310</v>
      </c>
      <c r="B42" s="91">
        <v>1479</v>
      </c>
      <c r="C42" s="112"/>
    </row>
    <row r="43" spans="1:3" x14ac:dyDescent="0.25">
      <c r="A43" s="3" t="s">
        <v>311</v>
      </c>
      <c r="B43" s="91">
        <v>2569</v>
      </c>
      <c r="C43" s="112"/>
    </row>
    <row r="44" spans="1:3" x14ac:dyDescent="0.25">
      <c r="A44" s="3" t="s">
        <v>312</v>
      </c>
      <c r="B44" s="91">
        <v>1941</v>
      </c>
      <c r="C44" s="112"/>
    </row>
    <row r="45" spans="1:3" x14ac:dyDescent="0.25">
      <c r="A45" s="3" t="s">
        <v>313</v>
      </c>
      <c r="B45" s="91">
        <v>2793</v>
      </c>
      <c r="C45" s="112"/>
    </row>
    <row r="46" spans="1:3" x14ac:dyDescent="0.25">
      <c r="A46" s="3" t="s">
        <v>314</v>
      </c>
      <c r="B46" s="91">
        <v>2614</v>
      </c>
      <c r="C46" s="112"/>
    </row>
    <row r="47" spans="1:3" x14ac:dyDescent="0.25">
      <c r="A47" s="3" t="s">
        <v>315</v>
      </c>
      <c r="B47" s="91">
        <v>1645</v>
      </c>
      <c r="C47" s="112"/>
    </row>
    <row r="48" spans="1:3" x14ac:dyDescent="0.25">
      <c r="A48" s="3" t="s">
        <v>316</v>
      </c>
      <c r="B48" s="91">
        <v>1733</v>
      </c>
      <c r="C48" s="112"/>
    </row>
    <row r="49" spans="1:3" x14ac:dyDescent="0.25">
      <c r="A49" s="3" t="s">
        <v>317</v>
      </c>
      <c r="B49" s="91">
        <v>2466</v>
      </c>
      <c r="C49" s="112"/>
    </row>
    <row r="50" spans="1:3" x14ac:dyDescent="0.25">
      <c r="A50" s="3" t="s">
        <v>318</v>
      </c>
      <c r="B50" s="91">
        <v>2833</v>
      </c>
      <c r="C50" s="112"/>
    </row>
    <row r="51" spans="1:3" x14ac:dyDescent="0.25">
      <c r="A51" s="3" t="s">
        <v>319</v>
      </c>
      <c r="B51" s="91">
        <v>1604</v>
      </c>
      <c r="C51" s="112"/>
    </row>
    <row r="52" spans="1:3" x14ac:dyDescent="0.25">
      <c r="A52" s="3" t="s">
        <v>320</v>
      </c>
      <c r="B52" s="91">
        <v>2588</v>
      </c>
      <c r="C52" s="11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89"/>
  <sheetViews>
    <sheetView workbookViewId="0">
      <selection activeCell="C21" sqref="C21"/>
    </sheetView>
  </sheetViews>
  <sheetFormatPr defaultRowHeight="15" x14ac:dyDescent="0.25"/>
  <cols>
    <col min="1" max="1" width="3.5703125" customWidth="1"/>
    <col min="2" max="2" width="21.5703125" customWidth="1"/>
    <col min="3" max="3" width="23.7109375" customWidth="1"/>
    <col min="4" max="4" width="38.7109375" customWidth="1"/>
    <col min="5" max="5" width="6" customWidth="1"/>
    <col min="6" max="7" width="8.7109375" customWidth="1"/>
    <col min="8" max="8" width="9.28515625" customWidth="1"/>
    <col min="9" max="10" width="7.140625" customWidth="1"/>
    <col min="11" max="11" width="2.28515625" customWidth="1"/>
    <col min="16" max="16" width="5.5703125" customWidth="1"/>
    <col min="17" max="17" width="16.140625" bestFit="1" customWidth="1"/>
    <col min="18" max="22" width="16.140625" customWidth="1"/>
  </cols>
  <sheetData>
    <row r="1" spans="1:5" x14ac:dyDescent="0.25">
      <c r="A1" s="5" t="s">
        <v>52</v>
      </c>
      <c r="B1" s="5"/>
      <c r="C1" s="5"/>
      <c r="D1" s="5"/>
    </row>
    <row r="2" spans="1:5" x14ac:dyDescent="0.25">
      <c r="A2" s="39">
        <v>1</v>
      </c>
      <c r="B2" s="17" t="s">
        <v>53</v>
      </c>
      <c r="C2" s="17"/>
      <c r="D2" s="17"/>
      <c r="E2" s="18"/>
    </row>
    <row r="3" spans="1:5" x14ac:dyDescent="0.25">
      <c r="A3" s="40">
        <v>2</v>
      </c>
      <c r="B3" s="20" t="s">
        <v>54</v>
      </c>
      <c r="C3" s="20"/>
      <c r="D3" s="20"/>
      <c r="E3" s="22"/>
    </row>
    <row r="4" spans="1:5" x14ac:dyDescent="0.25">
      <c r="A4" s="41"/>
      <c r="B4" s="42" t="s">
        <v>55</v>
      </c>
      <c r="C4" s="21"/>
      <c r="D4" s="21"/>
      <c r="E4" s="22"/>
    </row>
    <row r="5" spans="1:5" x14ac:dyDescent="0.25">
      <c r="A5" s="41"/>
      <c r="B5" s="42" t="s">
        <v>56</v>
      </c>
      <c r="C5" s="21"/>
      <c r="D5" s="21"/>
      <c r="E5" s="22"/>
    </row>
    <row r="6" spans="1:5" x14ac:dyDescent="0.25">
      <c r="A6" s="41"/>
      <c r="B6" s="42" t="s">
        <v>57</v>
      </c>
      <c r="C6" s="21"/>
      <c r="D6" s="21"/>
      <c r="E6" s="22"/>
    </row>
    <row r="7" spans="1:5" x14ac:dyDescent="0.25">
      <c r="A7" s="41">
        <v>3</v>
      </c>
      <c r="B7" s="21" t="s">
        <v>226</v>
      </c>
      <c r="C7" s="21"/>
      <c r="D7" s="21"/>
      <c r="E7" s="22"/>
    </row>
    <row r="8" spans="1:5" x14ac:dyDescent="0.25">
      <c r="A8" s="41"/>
      <c r="B8" s="42" t="s">
        <v>59</v>
      </c>
      <c r="C8" s="21"/>
      <c r="D8" s="21"/>
      <c r="E8" s="22"/>
    </row>
    <row r="9" spans="1:5" x14ac:dyDescent="0.25">
      <c r="A9" s="41"/>
      <c r="B9" s="42" t="s">
        <v>60</v>
      </c>
      <c r="C9" s="21"/>
      <c r="D9" s="21"/>
      <c r="E9" s="22"/>
    </row>
    <row r="10" spans="1:5" x14ac:dyDescent="0.25">
      <c r="A10" s="41"/>
      <c r="B10" s="42" t="s">
        <v>61</v>
      </c>
      <c r="C10" s="21"/>
      <c r="D10" s="21"/>
      <c r="E10" s="22"/>
    </row>
    <row r="11" spans="1:5" x14ac:dyDescent="0.25">
      <c r="A11" s="41">
        <v>4</v>
      </c>
      <c r="B11" s="21" t="s">
        <v>62</v>
      </c>
      <c r="C11" s="21"/>
      <c r="D11" s="21"/>
      <c r="E11" s="22"/>
    </row>
    <row r="12" spans="1:5" x14ac:dyDescent="0.25">
      <c r="A12" s="41">
        <v>5</v>
      </c>
      <c r="B12" s="21" t="s">
        <v>63</v>
      </c>
      <c r="C12" s="21"/>
      <c r="D12" s="21"/>
      <c r="E12" s="22"/>
    </row>
    <row r="13" spans="1:5" x14ac:dyDescent="0.25">
      <c r="A13" s="41"/>
      <c r="B13" s="42" t="s">
        <v>65</v>
      </c>
      <c r="C13" s="21"/>
      <c r="D13" s="21"/>
      <c r="E13" s="22"/>
    </row>
    <row r="14" spans="1:5" x14ac:dyDescent="0.25">
      <c r="A14" s="41"/>
      <c r="B14" s="42" t="s">
        <v>227</v>
      </c>
      <c r="C14" s="21"/>
      <c r="D14" s="21"/>
      <c r="E14" s="22"/>
    </row>
    <row r="15" spans="1:5" x14ac:dyDescent="0.25">
      <c r="A15" s="41"/>
      <c r="B15" s="42" t="s">
        <v>64</v>
      </c>
      <c r="C15" s="21"/>
      <c r="D15" s="21"/>
      <c r="E15" s="22"/>
    </row>
    <row r="16" spans="1:5" x14ac:dyDescent="0.25">
      <c r="A16" s="41">
        <v>6</v>
      </c>
      <c r="B16" s="21" t="s">
        <v>66</v>
      </c>
      <c r="C16" s="21"/>
      <c r="D16" s="21"/>
      <c r="E16" s="22"/>
    </row>
    <row r="17" spans="1:12" x14ac:dyDescent="0.25">
      <c r="A17" s="41">
        <v>7</v>
      </c>
      <c r="B17" s="21" t="s">
        <v>67</v>
      </c>
      <c r="C17" s="21"/>
      <c r="D17" s="21"/>
      <c r="E17" s="22"/>
    </row>
    <row r="18" spans="1:12" x14ac:dyDescent="0.25">
      <c r="A18" s="41">
        <v>8</v>
      </c>
      <c r="B18" s="21" t="s">
        <v>237</v>
      </c>
      <c r="C18" s="21"/>
      <c r="D18" s="21"/>
      <c r="E18" s="22"/>
    </row>
    <row r="19" spans="1:12" x14ac:dyDescent="0.25">
      <c r="A19" s="24">
        <v>9</v>
      </c>
      <c r="B19" s="25" t="s">
        <v>239</v>
      </c>
      <c r="C19" s="25"/>
      <c r="D19" s="25"/>
      <c r="E19" s="26"/>
    </row>
    <row r="21" spans="1:12" x14ac:dyDescent="0.25">
      <c r="B21" s="5" t="s">
        <v>229</v>
      </c>
    </row>
    <row r="22" spans="1:12" x14ac:dyDescent="0.25">
      <c r="B22" t="s">
        <v>230</v>
      </c>
    </row>
    <row r="23" spans="1:12" x14ac:dyDescent="0.25">
      <c r="B23" t="s">
        <v>690</v>
      </c>
    </row>
    <row r="25" spans="1:12" x14ac:dyDescent="0.25">
      <c r="B25" t="s">
        <v>218</v>
      </c>
      <c r="C25" s="64">
        <f>SUM(F26:F29)</f>
        <v>65</v>
      </c>
      <c r="D25" t="str">
        <f ca="1">IF(_xlfn.ISFORMULA(C25)," "&amp;_xlfn.FORMULATEXT(C25),"")</f>
        <v xml:space="preserve"> =SUM(F26:F29)</v>
      </c>
      <c r="F25" s="1" t="s">
        <v>220</v>
      </c>
      <c r="G25" s="1" t="s">
        <v>221</v>
      </c>
      <c r="H25" s="1" t="s">
        <v>231</v>
      </c>
      <c r="L25" t="s">
        <v>454</v>
      </c>
    </row>
    <row r="26" spans="1:12" x14ac:dyDescent="0.25">
      <c r="B26" t="s">
        <v>232</v>
      </c>
      <c r="C26" s="64">
        <f>F27:H27 G26:G29</f>
        <v>25</v>
      </c>
      <c r="D26" t="str">
        <f t="shared" ref="D26:D33" ca="1" si="0">IF(_xlfn.ISFORMULA(C26)," "&amp;_xlfn.FORMULATEXT(C26),"")</f>
        <v xml:space="preserve"> =F27:H27 G26:G29</v>
      </c>
      <c r="F26" s="92">
        <v>12</v>
      </c>
      <c r="G26" s="92">
        <v>20</v>
      </c>
      <c r="H26" s="92">
        <v>19</v>
      </c>
      <c r="L26" t="s">
        <v>455</v>
      </c>
    </row>
    <row r="27" spans="1:12" x14ac:dyDescent="0.25">
      <c r="B27" t="s">
        <v>219</v>
      </c>
      <c r="C27" s="64">
        <f>SUM(F26:F29,H26:H29)</f>
        <v>145</v>
      </c>
      <c r="D27" t="str">
        <f t="shared" ca="1" si="0"/>
        <v xml:space="preserve"> =SUM(F26:F29,H26:H29)</v>
      </c>
      <c r="F27" s="92">
        <v>16</v>
      </c>
      <c r="G27" s="92">
        <v>25</v>
      </c>
      <c r="H27" s="92">
        <v>15</v>
      </c>
      <c r="L27" t="s">
        <v>456</v>
      </c>
    </row>
    <row r="28" spans="1:12" x14ac:dyDescent="0.25">
      <c r="B28" s="2" t="s">
        <v>222</v>
      </c>
      <c r="C28" s="64">
        <f>-2^2</f>
        <v>4</v>
      </c>
      <c r="D28" t="str">
        <f t="shared" ca="1" si="0"/>
        <v xml:space="preserve"> =-2^2</v>
      </c>
      <c r="F28" s="92">
        <v>21</v>
      </c>
      <c r="G28" s="92">
        <v>27</v>
      </c>
      <c r="H28" s="92">
        <v>40</v>
      </c>
      <c r="L28" t="s">
        <v>457</v>
      </c>
    </row>
    <row r="29" spans="1:12" x14ac:dyDescent="0.25">
      <c r="B29" t="s">
        <v>222</v>
      </c>
      <c r="C29" s="64">
        <f>-(2^2)</f>
        <v>-4</v>
      </c>
      <c r="D29" t="str">
        <f t="shared" ca="1" si="0"/>
        <v xml:space="preserve"> =-(2^2)</v>
      </c>
      <c r="F29" s="92">
        <v>16</v>
      </c>
      <c r="G29" s="92">
        <v>25</v>
      </c>
      <c r="H29" s="92">
        <v>6</v>
      </c>
      <c r="L29" t="s">
        <v>458</v>
      </c>
    </row>
    <row r="30" spans="1:12" x14ac:dyDescent="0.25">
      <c r="B30" t="s">
        <v>228</v>
      </c>
      <c r="C30" s="64">
        <f>10*1%</f>
        <v>0.1</v>
      </c>
      <c r="D30" t="str">
        <f t="shared" ca="1" si="0"/>
        <v xml:space="preserve"> =10*1%</v>
      </c>
      <c r="L30" t="s">
        <v>459</v>
      </c>
    </row>
    <row r="31" spans="1:12" x14ac:dyDescent="0.25">
      <c r="B31" t="s">
        <v>233</v>
      </c>
      <c r="C31" s="64">
        <f>6*2+10/2-7</f>
        <v>10</v>
      </c>
      <c r="D31" t="str">
        <f t="shared" ca="1" si="0"/>
        <v xml:space="preserve"> =6*2+10/2-7</v>
      </c>
      <c r="L31" t="s">
        <v>460</v>
      </c>
    </row>
    <row r="32" spans="1:12" ht="30" x14ac:dyDescent="0.25">
      <c r="B32" t="s">
        <v>236</v>
      </c>
      <c r="C32" s="64" t="str">
        <f>"The Project Lasted "&amp;G33-F33+1&amp;" days."</f>
        <v>The Project Lasted 4 days.</v>
      </c>
      <c r="D32" t="str">
        <f t="shared" ca="1" si="0"/>
        <v xml:space="preserve"> ="The Project Lasted "&amp;G33-F33+1&amp;" days."</v>
      </c>
      <c r="F32" s="1" t="s">
        <v>234</v>
      </c>
      <c r="G32" s="1" t="s">
        <v>235</v>
      </c>
      <c r="H32" s="52" t="s">
        <v>255</v>
      </c>
      <c r="L32" t="s">
        <v>461</v>
      </c>
    </row>
    <row r="33" spans="2:12" x14ac:dyDescent="0.25">
      <c r="B33" t="s">
        <v>238</v>
      </c>
      <c r="C33" s="64" t="b">
        <f>H33&gt;=G33-F33+1</f>
        <v>1</v>
      </c>
      <c r="D33" t="str">
        <f t="shared" ca="1" si="0"/>
        <v xml:space="preserve"> =H33&gt;=G33-F33+1</v>
      </c>
      <c r="F33" s="93">
        <v>41545</v>
      </c>
      <c r="G33" s="93">
        <v>41548</v>
      </c>
      <c r="H33" s="92">
        <v>6</v>
      </c>
      <c r="L33" t="s">
        <v>462</v>
      </c>
    </row>
    <row r="71" spans="2:5" x14ac:dyDescent="0.25">
      <c r="B71" s="1" t="s">
        <v>240</v>
      </c>
      <c r="C71" s="64">
        <f>(SUM(F27:H27 G26:G29,-H29,COUNTIF(F26:F29,"&gt;="&amp;I33))*94%)*2^3+6/-4</f>
        <v>141.38</v>
      </c>
    </row>
    <row r="73" spans="2:5" x14ac:dyDescent="0.25">
      <c r="B73" s="1" t="s">
        <v>254</v>
      </c>
      <c r="C73" s="64">
        <f>SUMPRODUCT(--((0&lt;(B80:B89=C77)+(B80:B89=D77))*(C80:C89=B77)))</f>
        <v>3</v>
      </c>
    </row>
    <row r="74" spans="2:5" x14ac:dyDescent="0.25">
      <c r="B74" s="1" t="s">
        <v>254</v>
      </c>
      <c r="C74" s="64">
        <f>SUMPRODUCT(--ISNUMBER(MATCH(B80:B89,C77:D77,0)),--(C80:C89=B77))</f>
        <v>3</v>
      </c>
    </row>
    <row r="76" spans="2:5" x14ac:dyDescent="0.25">
      <c r="B76" s="66" t="s">
        <v>242</v>
      </c>
      <c r="C76" s="66" t="s">
        <v>252</v>
      </c>
      <c r="D76" s="66" t="s">
        <v>253</v>
      </c>
    </row>
    <row r="77" spans="2:5" x14ac:dyDescent="0.25">
      <c r="B77" s="3" t="s">
        <v>247</v>
      </c>
      <c r="C77" s="3" t="s">
        <v>245</v>
      </c>
      <c r="D77" s="3" t="s">
        <v>244</v>
      </c>
    </row>
    <row r="79" spans="2:5" x14ac:dyDescent="0.25">
      <c r="B79" s="1" t="s">
        <v>128</v>
      </c>
      <c r="C79" s="1" t="s">
        <v>242</v>
      </c>
      <c r="D79" s="1" t="s">
        <v>243</v>
      </c>
      <c r="E79" s="1" t="s">
        <v>251</v>
      </c>
    </row>
    <row r="80" spans="2:5" x14ac:dyDescent="0.25">
      <c r="B80" s="3" t="s">
        <v>244</v>
      </c>
      <c r="C80" s="3" t="s">
        <v>247</v>
      </c>
      <c r="D80" s="3" t="s">
        <v>249</v>
      </c>
      <c r="E80" s="3">
        <v>6</v>
      </c>
    </row>
    <row r="81" spans="2:5" x14ac:dyDescent="0.25">
      <c r="B81" s="3" t="s">
        <v>245</v>
      </c>
      <c r="C81" s="3" t="s">
        <v>248</v>
      </c>
      <c r="D81" s="3" t="s">
        <v>250</v>
      </c>
      <c r="E81" s="3">
        <v>2</v>
      </c>
    </row>
    <row r="82" spans="2:5" x14ac:dyDescent="0.25">
      <c r="B82" s="3" t="s">
        <v>246</v>
      </c>
      <c r="C82" s="3" t="s">
        <v>247</v>
      </c>
      <c r="D82" s="3" t="s">
        <v>250</v>
      </c>
      <c r="E82" s="3">
        <v>8</v>
      </c>
    </row>
    <row r="83" spans="2:5" x14ac:dyDescent="0.25">
      <c r="B83" s="3" t="s">
        <v>244</v>
      </c>
      <c r="C83" s="3" t="s">
        <v>247</v>
      </c>
      <c r="D83" s="3" t="s">
        <v>249</v>
      </c>
      <c r="E83" s="3">
        <v>10</v>
      </c>
    </row>
    <row r="84" spans="2:5" x14ac:dyDescent="0.25">
      <c r="B84" s="3" t="s">
        <v>245</v>
      </c>
      <c r="C84" s="3" t="s">
        <v>248</v>
      </c>
      <c r="D84" s="3" t="s">
        <v>250</v>
      </c>
      <c r="E84" s="3">
        <v>10</v>
      </c>
    </row>
    <row r="85" spans="2:5" x14ac:dyDescent="0.25">
      <c r="B85" s="3" t="s">
        <v>245</v>
      </c>
      <c r="C85" s="3" t="s">
        <v>248</v>
      </c>
      <c r="D85" s="3" t="s">
        <v>250</v>
      </c>
      <c r="E85" s="3">
        <v>4</v>
      </c>
    </row>
    <row r="86" spans="2:5" x14ac:dyDescent="0.25">
      <c r="B86" s="3" t="s">
        <v>246</v>
      </c>
      <c r="C86" s="3" t="s">
        <v>247</v>
      </c>
      <c r="D86" s="3" t="s">
        <v>249</v>
      </c>
      <c r="E86" s="3">
        <v>8</v>
      </c>
    </row>
    <row r="87" spans="2:5" x14ac:dyDescent="0.25">
      <c r="B87" s="3" t="s">
        <v>246</v>
      </c>
      <c r="C87" s="3" t="s">
        <v>248</v>
      </c>
      <c r="D87" s="3" t="s">
        <v>249</v>
      </c>
      <c r="E87" s="3">
        <v>10</v>
      </c>
    </row>
    <row r="88" spans="2:5" x14ac:dyDescent="0.25">
      <c r="B88" s="3" t="s">
        <v>244</v>
      </c>
      <c r="C88" s="3" t="s">
        <v>248</v>
      </c>
      <c r="D88" s="3" t="s">
        <v>249</v>
      </c>
      <c r="E88" s="3">
        <v>6</v>
      </c>
    </row>
    <row r="89" spans="2:5" x14ac:dyDescent="0.25">
      <c r="B89" s="3" t="s">
        <v>245</v>
      </c>
      <c r="C89" s="3" t="s">
        <v>247</v>
      </c>
      <c r="D89" s="3" t="s">
        <v>250</v>
      </c>
      <c r="E89" s="3">
        <v>10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2"/>
  <sheetViews>
    <sheetView workbookViewId="0">
      <selection activeCell="C21" sqref="C21"/>
    </sheetView>
  </sheetViews>
  <sheetFormatPr defaultRowHeight="15" x14ac:dyDescent="0.25"/>
  <sheetData>
    <row r="1" spans="1:2" ht="45" x14ac:dyDescent="0.25">
      <c r="A1" s="109" t="s">
        <v>273</v>
      </c>
      <c r="B1" s="109"/>
    </row>
    <row r="2" spans="1:2" ht="30" x14ac:dyDescent="0.25">
      <c r="A2" s="4" t="s">
        <v>274</v>
      </c>
      <c r="B2" s="3">
        <v>0.04</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2"/>
  <sheetViews>
    <sheetView topLeftCell="A37" workbookViewId="0">
      <selection activeCell="C21" sqref="C21"/>
    </sheetView>
  </sheetViews>
  <sheetFormatPr defaultColWidth="17.140625" defaultRowHeight="15" x14ac:dyDescent="0.25"/>
  <cols>
    <col min="1" max="1" width="11.85546875" bestFit="1" customWidth="1"/>
    <col min="2" max="2" width="9.85546875" bestFit="1" customWidth="1"/>
    <col min="3" max="3" width="11" bestFit="1" customWidth="1"/>
    <col min="257" max="257" width="11.85546875" bestFit="1" customWidth="1"/>
    <col min="258" max="258" width="10.5703125" bestFit="1" customWidth="1"/>
    <col min="513" max="513" width="11.85546875" bestFit="1" customWidth="1"/>
    <col min="514" max="514" width="10.5703125" bestFit="1" customWidth="1"/>
    <col min="769" max="769" width="11.85546875" bestFit="1" customWidth="1"/>
    <col min="770" max="770" width="10.5703125" bestFit="1" customWidth="1"/>
    <col min="1025" max="1025" width="11.85546875" bestFit="1" customWidth="1"/>
    <col min="1026" max="1026" width="10.5703125" bestFit="1" customWidth="1"/>
    <col min="1281" max="1281" width="11.85546875" bestFit="1" customWidth="1"/>
    <col min="1282" max="1282" width="10.5703125" bestFit="1" customWidth="1"/>
    <col min="1537" max="1537" width="11.85546875" bestFit="1" customWidth="1"/>
    <col min="1538" max="1538" width="10.5703125" bestFit="1" customWidth="1"/>
    <col min="1793" max="1793" width="11.85546875" bestFit="1" customWidth="1"/>
    <col min="1794" max="1794" width="10.5703125" bestFit="1" customWidth="1"/>
    <col min="2049" max="2049" width="11.85546875" bestFit="1" customWidth="1"/>
    <col min="2050" max="2050" width="10.5703125" bestFit="1" customWidth="1"/>
    <col min="2305" max="2305" width="11.85546875" bestFit="1" customWidth="1"/>
    <col min="2306" max="2306" width="10.5703125" bestFit="1" customWidth="1"/>
    <col min="2561" max="2561" width="11.85546875" bestFit="1" customWidth="1"/>
    <col min="2562" max="2562" width="10.5703125" bestFit="1" customWidth="1"/>
    <col min="2817" max="2817" width="11.85546875" bestFit="1" customWidth="1"/>
    <col min="2818" max="2818" width="10.5703125" bestFit="1" customWidth="1"/>
    <col min="3073" max="3073" width="11.85546875" bestFit="1" customWidth="1"/>
    <col min="3074" max="3074" width="10.5703125" bestFit="1" customWidth="1"/>
    <col min="3329" max="3329" width="11.85546875" bestFit="1" customWidth="1"/>
    <col min="3330" max="3330" width="10.5703125" bestFit="1" customWidth="1"/>
    <col min="3585" max="3585" width="11.85546875" bestFit="1" customWidth="1"/>
    <col min="3586" max="3586" width="10.5703125" bestFit="1" customWidth="1"/>
    <col min="3841" max="3841" width="11.85546875" bestFit="1" customWidth="1"/>
    <col min="3842" max="3842" width="10.5703125" bestFit="1" customWidth="1"/>
    <col min="4097" max="4097" width="11.85546875" bestFit="1" customWidth="1"/>
    <col min="4098" max="4098" width="10.5703125" bestFit="1" customWidth="1"/>
    <col min="4353" max="4353" width="11.85546875" bestFit="1" customWidth="1"/>
    <col min="4354" max="4354" width="10.5703125" bestFit="1" customWidth="1"/>
    <col min="4609" max="4609" width="11.85546875" bestFit="1" customWidth="1"/>
    <col min="4610" max="4610" width="10.5703125" bestFit="1" customWidth="1"/>
    <col min="4865" max="4865" width="11.85546875" bestFit="1" customWidth="1"/>
    <col min="4866" max="4866" width="10.5703125" bestFit="1" customWidth="1"/>
    <col min="5121" max="5121" width="11.85546875" bestFit="1" customWidth="1"/>
    <col min="5122" max="5122" width="10.5703125" bestFit="1" customWidth="1"/>
    <col min="5377" max="5377" width="11.85546875" bestFit="1" customWidth="1"/>
    <col min="5378" max="5378" width="10.5703125" bestFit="1" customWidth="1"/>
    <col min="5633" max="5633" width="11.85546875" bestFit="1" customWidth="1"/>
    <col min="5634" max="5634" width="10.5703125" bestFit="1" customWidth="1"/>
    <col min="5889" max="5889" width="11.85546875" bestFit="1" customWidth="1"/>
    <col min="5890" max="5890" width="10.5703125" bestFit="1" customWidth="1"/>
    <col min="6145" max="6145" width="11.85546875" bestFit="1" customWidth="1"/>
    <col min="6146" max="6146" width="10.5703125" bestFit="1" customWidth="1"/>
    <col min="6401" max="6401" width="11.85546875" bestFit="1" customWidth="1"/>
    <col min="6402" max="6402" width="10.5703125" bestFit="1" customWidth="1"/>
    <col min="6657" max="6657" width="11.85546875" bestFit="1" customWidth="1"/>
    <col min="6658" max="6658" width="10.5703125" bestFit="1" customWidth="1"/>
    <col min="6913" max="6913" width="11.85546875" bestFit="1" customWidth="1"/>
    <col min="6914" max="6914" width="10.5703125" bestFit="1" customWidth="1"/>
    <col min="7169" max="7169" width="11.85546875" bestFit="1" customWidth="1"/>
    <col min="7170" max="7170" width="10.5703125" bestFit="1" customWidth="1"/>
    <col min="7425" max="7425" width="11.85546875" bestFit="1" customWidth="1"/>
    <col min="7426" max="7426" width="10.5703125" bestFit="1" customWidth="1"/>
    <col min="7681" max="7681" width="11.85546875" bestFit="1" customWidth="1"/>
    <col min="7682" max="7682" width="10.5703125" bestFit="1" customWidth="1"/>
    <col min="7937" max="7937" width="11.85546875" bestFit="1" customWidth="1"/>
    <col min="7938" max="7938" width="10.5703125" bestFit="1" customWidth="1"/>
    <col min="8193" max="8193" width="11.85546875" bestFit="1" customWidth="1"/>
    <col min="8194" max="8194" width="10.5703125" bestFit="1" customWidth="1"/>
    <col min="8449" max="8449" width="11.85546875" bestFit="1" customWidth="1"/>
    <col min="8450" max="8450" width="10.5703125" bestFit="1" customWidth="1"/>
    <col min="8705" max="8705" width="11.85546875" bestFit="1" customWidth="1"/>
    <col min="8706" max="8706" width="10.5703125" bestFit="1" customWidth="1"/>
    <col min="8961" max="8961" width="11.85546875" bestFit="1" customWidth="1"/>
    <col min="8962" max="8962" width="10.5703125" bestFit="1" customWidth="1"/>
    <col min="9217" max="9217" width="11.85546875" bestFit="1" customWidth="1"/>
    <col min="9218" max="9218" width="10.5703125" bestFit="1" customWidth="1"/>
    <col min="9473" max="9473" width="11.85546875" bestFit="1" customWidth="1"/>
    <col min="9474" max="9474" width="10.5703125" bestFit="1" customWidth="1"/>
    <col min="9729" max="9729" width="11.85546875" bestFit="1" customWidth="1"/>
    <col min="9730" max="9730" width="10.5703125" bestFit="1" customWidth="1"/>
    <col min="9985" max="9985" width="11.85546875" bestFit="1" customWidth="1"/>
    <col min="9986" max="9986" width="10.5703125" bestFit="1" customWidth="1"/>
    <col min="10241" max="10241" width="11.85546875" bestFit="1" customWidth="1"/>
    <col min="10242" max="10242" width="10.5703125" bestFit="1" customWidth="1"/>
    <col min="10497" max="10497" width="11.85546875" bestFit="1" customWidth="1"/>
    <col min="10498" max="10498" width="10.5703125" bestFit="1" customWidth="1"/>
    <col min="10753" max="10753" width="11.85546875" bestFit="1" customWidth="1"/>
    <col min="10754" max="10754" width="10.5703125" bestFit="1" customWidth="1"/>
    <col min="11009" max="11009" width="11.85546875" bestFit="1" customWidth="1"/>
    <col min="11010" max="11010" width="10.5703125" bestFit="1" customWidth="1"/>
    <col min="11265" max="11265" width="11.85546875" bestFit="1" customWidth="1"/>
    <col min="11266" max="11266" width="10.5703125" bestFit="1" customWidth="1"/>
    <col min="11521" max="11521" width="11.85546875" bestFit="1" customWidth="1"/>
    <col min="11522" max="11522" width="10.5703125" bestFit="1" customWidth="1"/>
    <col min="11777" max="11777" width="11.85546875" bestFit="1" customWidth="1"/>
    <col min="11778" max="11778" width="10.5703125" bestFit="1" customWidth="1"/>
    <col min="12033" max="12033" width="11.85546875" bestFit="1" customWidth="1"/>
    <col min="12034" max="12034" width="10.5703125" bestFit="1" customWidth="1"/>
    <col min="12289" max="12289" width="11.85546875" bestFit="1" customWidth="1"/>
    <col min="12290" max="12290" width="10.5703125" bestFit="1" customWidth="1"/>
    <col min="12545" max="12545" width="11.85546875" bestFit="1" customWidth="1"/>
    <col min="12546" max="12546" width="10.5703125" bestFit="1" customWidth="1"/>
    <col min="12801" max="12801" width="11.85546875" bestFit="1" customWidth="1"/>
    <col min="12802" max="12802" width="10.5703125" bestFit="1" customWidth="1"/>
    <col min="13057" max="13057" width="11.85546875" bestFit="1" customWidth="1"/>
    <col min="13058" max="13058" width="10.5703125" bestFit="1" customWidth="1"/>
    <col min="13313" max="13313" width="11.85546875" bestFit="1" customWidth="1"/>
    <col min="13314" max="13314" width="10.5703125" bestFit="1" customWidth="1"/>
    <col min="13569" max="13569" width="11.85546875" bestFit="1" customWidth="1"/>
    <col min="13570" max="13570" width="10.5703125" bestFit="1" customWidth="1"/>
    <col min="13825" max="13825" width="11.85546875" bestFit="1" customWidth="1"/>
    <col min="13826" max="13826" width="10.5703125" bestFit="1" customWidth="1"/>
    <col min="14081" max="14081" width="11.85546875" bestFit="1" customWidth="1"/>
    <col min="14082" max="14082" width="10.5703125" bestFit="1" customWidth="1"/>
    <col min="14337" max="14337" width="11.85546875" bestFit="1" customWidth="1"/>
    <col min="14338" max="14338" width="10.5703125" bestFit="1" customWidth="1"/>
    <col min="14593" max="14593" width="11.85546875" bestFit="1" customWidth="1"/>
    <col min="14594" max="14594" width="10.5703125" bestFit="1" customWidth="1"/>
    <col min="14849" max="14849" width="11.85546875" bestFit="1" customWidth="1"/>
    <col min="14850" max="14850" width="10.5703125" bestFit="1" customWidth="1"/>
    <col min="15105" max="15105" width="11.85546875" bestFit="1" customWidth="1"/>
    <col min="15106" max="15106" width="10.5703125" bestFit="1" customWidth="1"/>
    <col min="15361" max="15361" width="11.85546875" bestFit="1" customWidth="1"/>
    <col min="15362" max="15362" width="10.5703125" bestFit="1" customWidth="1"/>
    <col min="15617" max="15617" width="11.85546875" bestFit="1" customWidth="1"/>
    <col min="15618" max="15618" width="10.5703125" bestFit="1" customWidth="1"/>
    <col min="15873" max="15873" width="11.85546875" bestFit="1" customWidth="1"/>
    <col min="15874" max="15874" width="10.5703125" bestFit="1" customWidth="1"/>
    <col min="16129" max="16129" width="11.85546875" bestFit="1" customWidth="1"/>
    <col min="16130" max="16130" width="10.5703125" bestFit="1" customWidth="1"/>
  </cols>
  <sheetData>
    <row r="1" spans="1:5" ht="30" x14ac:dyDescent="0.25">
      <c r="A1" s="155" t="s">
        <v>610</v>
      </c>
      <c r="B1" s="155"/>
      <c r="C1" s="155"/>
      <c r="D1" s="155"/>
      <c r="E1" s="155"/>
    </row>
    <row r="4" spans="1:5" ht="45" x14ac:dyDescent="0.25">
      <c r="A4" s="110" t="s">
        <v>104</v>
      </c>
      <c r="B4" s="110" t="s">
        <v>105</v>
      </c>
      <c r="C4" s="111" t="s">
        <v>688</v>
      </c>
    </row>
    <row r="5" spans="1:5" x14ac:dyDescent="0.25">
      <c r="A5" s="3" t="s">
        <v>275</v>
      </c>
      <c r="B5" s="91">
        <v>1161</v>
      </c>
      <c r="C5" s="112">
        <f>B5*AssumptionsFor20!B$2</f>
        <v>46.44</v>
      </c>
    </row>
    <row r="6" spans="1:5" x14ac:dyDescent="0.25">
      <c r="A6" s="3" t="s">
        <v>276</v>
      </c>
      <c r="B6" s="91">
        <v>1321</v>
      </c>
      <c r="C6" s="112">
        <f>B6*AssumptionsFor20!B$2</f>
        <v>52.84</v>
      </c>
    </row>
    <row r="7" spans="1:5" x14ac:dyDescent="0.25">
      <c r="A7" s="3" t="s">
        <v>277</v>
      </c>
      <c r="B7" s="91">
        <v>1039</v>
      </c>
      <c r="C7" s="112">
        <f>B7*AssumptionsFor20!B$2</f>
        <v>41.56</v>
      </c>
    </row>
    <row r="8" spans="1:5" x14ac:dyDescent="0.25">
      <c r="A8" s="3" t="s">
        <v>278</v>
      </c>
      <c r="B8" s="91">
        <v>1761</v>
      </c>
      <c r="C8" s="112">
        <f>B8*AssumptionsFor20!B$2</f>
        <v>70.44</v>
      </c>
    </row>
    <row r="9" spans="1:5" x14ac:dyDescent="0.25">
      <c r="A9" s="3" t="s">
        <v>279</v>
      </c>
      <c r="B9" s="91">
        <v>1561</v>
      </c>
      <c r="C9" s="112">
        <f>B9*AssumptionsFor20!B$2</f>
        <v>62.440000000000005</v>
      </c>
    </row>
    <row r="10" spans="1:5" x14ac:dyDescent="0.25">
      <c r="A10" s="3" t="s">
        <v>280</v>
      </c>
      <c r="B10" s="91">
        <v>1868</v>
      </c>
      <c r="C10" s="112">
        <f>B10*AssumptionsFor20!B$2</f>
        <v>74.72</v>
      </c>
    </row>
    <row r="11" spans="1:5" x14ac:dyDescent="0.25">
      <c r="A11" s="3" t="s">
        <v>281</v>
      </c>
      <c r="B11" s="91">
        <v>2787</v>
      </c>
      <c r="C11" s="112">
        <f>B11*AssumptionsFor20!B$2</f>
        <v>111.48</v>
      </c>
    </row>
    <row r="12" spans="1:5" x14ac:dyDescent="0.25">
      <c r="A12" s="3" t="s">
        <v>282</v>
      </c>
      <c r="B12" s="91">
        <v>1849</v>
      </c>
      <c r="C12" s="112">
        <f>B12*AssumptionsFor20!B$2</f>
        <v>73.960000000000008</v>
      </c>
    </row>
    <row r="13" spans="1:5" x14ac:dyDescent="0.25">
      <c r="A13" s="3" t="s">
        <v>283</v>
      </c>
      <c r="B13" s="91">
        <v>2627</v>
      </c>
      <c r="C13" s="112">
        <f>B13*AssumptionsFor20!B$2</f>
        <v>105.08</v>
      </c>
    </row>
    <row r="14" spans="1:5" x14ac:dyDescent="0.25">
      <c r="A14" s="3" t="s">
        <v>284</v>
      </c>
      <c r="B14" s="91">
        <v>2165</v>
      </c>
      <c r="C14" s="112">
        <f>B14*AssumptionsFor20!B$2</f>
        <v>86.600000000000009</v>
      </c>
    </row>
    <row r="15" spans="1:5" x14ac:dyDescent="0.25">
      <c r="A15" s="3" t="s">
        <v>285</v>
      </c>
      <c r="B15" s="91">
        <v>1589</v>
      </c>
      <c r="C15" s="112">
        <f>B15*AssumptionsFor20!B$2</f>
        <v>63.56</v>
      </c>
    </row>
    <row r="16" spans="1:5" x14ac:dyDescent="0.25">
      <c r="A16" s="3" t="s">
        <v>286</v>
      </c>
      <c r="B16" s="91">
        <v>2603</v>
      </c>
      <c r="C16" s="112">
        <f>B16*AssumptionsFor20!B$2</f>
        <v>104.12</v>
      </c>
    </row>
    <row r="17" spans="1:3" x14ac:dyDescent="0.25">
      <c r="A17" s="3" t="s">
        <v>287</v>
      </c>
      <c r="B17" s="91">
        <v>2366</v>
      </c>
      <c r="C17" s="112">
        <f>B17*AssumptionsFor20!B$2</f>
        <v>94.64</v>
      </c>
    </row>
    <row r="18" spans="1:3" x14ac:dyDescent="0.25">
      <c r="A18" s="3" t="s">
        <v>288</v>
      </c>
      <c r="B18" s="91">
        <v>2107</v>
      </c>
      <c r="C18" s="112">
        <f>B18*AssumptionsFor20!B$2</f>
        <v>84.28</v>
      </c>
    </row>
    <row r="19" spans="1:3" x14ac:dyDescent="0.25">
      <c r="A19" s="3" t="s">
        <v>289</v>
      </c>
      <c r="B19" s="91">
        <v>2886</v>
      </c>
      <c r="C19" s="112">
        <f>B19*AssumptionsFor20!B$2</f>
        <v>115.44</v>
      </c>
    </row>
    <row r="20" spans="1:3" x14ac:dyDescent="0.25">
      <c r="A20" s="3" t="s">
        <v>290</v>
      </c>
      <c r="B20" s="91">
        <v>1886</v>
      </c>
      <c r="C20" s="112">
        <f>B20*AssumptionsFor20!B$2</f>
        <v>75.44</v>
      </c>
    </row>
    <row r="21" spans="1:3" x14ac:dyDescent="0.25">
      <c r="A21" s="3" t="s">
        <v>291</v>
      </c>
      <c r="B21" s="91">
        <v>2177</v>
      </c>
      <c r="C21" s="112">
        <f>B21*AssumptionsFor20!B$2</f>
        <v>87.08</v>
      </c>
    </row>
    <row r="22" spans="1:3" x14ac:dyDescent="0.25">
      <c r="A22" s="3" t="s">
        <v>292</v>
      </c>
      <c r="B22" s="91">
        <v>1873</v>
      </c>
      <c r="C22" s="112">
        <f>B22*AssumptionsFor20!B$2</f>
        <v>74.92</v>
      </c>
    </row>
    <row r="23" spans="1:3" x14ac:dyDescent="0.25">
      <c r="A23" s="3" t="s">
        <v>293</v>
      </c>
      <c r="B23" s="91">
        <v>2164</v>
      </c>
      <c r="C23" s="112">
        <f>B23*AssumptionsFor20!B$2</f>
        <v>86.56</v>
      </c>
    </row>
    <row r="24" spans="1:3" x14ac:dyDescent="0.25">
      <c r="A24" s="3" t="s">
        <v>294</v>
      </c>
      <c r="B24" s="91">
        <v>1394</v>
      </c>
      <c r="C24" s="112">
        <f>B24*AssumptionsFor20!B$2</f>
        <v>55.76</v>
      </c>
    </row>
    <row r="25" spans="1:3" x14ac:dyDescent="0.25">
      <c r="A25" s="3" t="s">
        <v>295</v>
      </c>
      <c r="B25" s="91">
        <v>2263</v>
      </c>
      <c r="C25" s="112">
        <f>B25*AssumptionsFor20!B$2</f>
        <v>90.52</v>
      </c>
    </row>
    <row r="26" spans="1:3" x14ac:dyDescent="0.25">
      <c r="A26" s="3" t="s">
        <v>296</v>
      </c>
      <c r="B26" s="91">
        <v>2242</v>
      </c>
      <c r="C26" s="112">
        <f>B26*AssumptionsFor20!B$2</f>
        <v>89.68</v>
      </c>
    </row>
    <row r="27" spans="1:3" x14ac:dyDescent="0.25">
      <c r="A27" s="3" t="s">
        <v>297</v>
      </c>
      <c r="B27" s="91">
        <v>1474</v>
      </c>
      <c r="C27" s="112">
        <f>B27*AssumptionsFor20!B$2</f>
        <v>58.96</v>
      </c>
    </row>
    <row r="28" spans="1:3" x14ac:dyDescent="0.25">
      <c r="A28" s="3" t="s">
        <v>298</v>
      </c>
      <c r="B28" s="91">
        <v>1998</v>
      </c>
      <c r="C28" s="112">
        <f>B28*AssumptionsFor20!B$2</f>
        <v>79.92</v>
      </c>
    </row>
    <row r="29" spans="1:3" x14ac:dyDescent="0.25">
      <c r="A29" s="3" t="s">
        <v>299</v>
      </c>
      <c r="B29" s="91">
        <v>2892</v>
      </c>
      <c r="C29" s="112">
        <f>B29*AssumptionsFor20!B$2</f>
        <v>115.68</v>
      </c>
    </row>
    <row r="30" spans="1:3" x14ac:dyDescent="0.25">
      <c r="A30" s="3" t="s">
        <v>300</v>
      </c>
      <c r="B30" s="91">
        <v>1873</v>
      </c>
      <c r="C30" s="112">
        <f>B30*AssumptionsFor20!B$2</f>
        <v>74.92</v>
      </c>
    </row>
    <row r="31" spans="1:3" x14ac:dyDescent="0.25">
      <c r="A31" s="3" t="s">
        <v>301</v>
      </c>
      <c r="B31" s="91">
        <v>1954</v>
      </c>
      <c r="C31" s="112">
        <f>B31*AssumptionsFor20!B$2</f>
        <v>78.16</v>
      </c>
    </row>
    <row r="32" spans="1:3" x14ac:dyDescent="0.25">
      <c r="A32" s="3" t="s">
        <v>118</v>
      </c>
      <c r="B32" s="91">
        <v>1729</v>
      </c>
      <c r="C32" s="112">
        <f>B32*AssumptionsFor20!B$2</f>
        <v>69.16</v>
      </c>
    </row>
    <row r="33" spans="1:3" x14ac:dyDescent="0.25">
      <c r="A33" s="3" t="s">
        <v>302</v>
      </c>
      <c r="B33" s="91">
        <v>1140</v>
      </c>
      <c r="C33" s="112">
        <f>B33*AssumptionsFor20!B$2</f>
        <v>45.6</v>
      </c>
    </row>
    <row r="34" spans="1:3" x14ac:dyDescent="0.25">
      <c r="A34" s="3" t="s">
        <v>303</v>
      </c>
      <c r="B34" s="91">
        <v>1528</v>
      </c>
      <c r="C34" s="112">
        <f>B34*AssumptionsFor20!B$2</f>
        <v>61.120000000000005</v>
      </c>
    </row>
    <row r="35" spans="1:3" x14ac:dyDescent="0.25">
      <c r="A35" s="3" t="s">
        <v>304</v>
      </c>
      <c r="B35" s="91">
        <v>1659</v>
      </c>
      <c r="C35" s="112">
        <f>B35*AssumptionsFor20!B$2</f>
        <v>66.36</v>
      </c>
    </row>
    <row r="36" spans="1:3" x14ac:dyDescent="0.25">
      <c r="A36" s="3" t="s">
        <v>305</v>
      </c>
      <c r="B36" s="91">
        <v>2119</v>
      </c>
      <c r="C36" s="112">
        <f>B36*AssumptionsFor20!B$2</f>
        <v>84.76</v>
      </c>
    </row>
    <row r="37" spans="1:3" x14ac:dyDescent="0.25">
      <c r="A37" s="3" t="s">
        <v>306</v>
      </c>
      <c r="B37" s="91">
        <v>1854</v>
      </c>
      <c r="C37" s="112">
        <f>B37*AssumptionsFor20!B$2</f>
        <v>74.16</v>
      </c>
    </row>
    <row r="38" spans="1:3" x14ac:dyDescent="0.25">
      <c r="A38" s="3" t="s">
        <v>307</v>
      </c>
      <c r="B38" s="91">
        <v>2759</v>
      </c>
      <c r="C38" s="112">
        <f>B38*AssumptionsFor20!B$2</f>
        <v>110.36</v>
      </c>
    </row>
    <row r="39" spans="1:3" x14ac:dyDescent="0.25">
      <c r="A39" s="3" t="s">
        <v>308</v>
      </c>
      <c r="B39" s="91">
        <v>1237</v>
      </c>
      <c r="C39" s="112">
        <f>B39*AssumptionsFor20!B$2</f>
        <v>49.480000000000004</v>
      </c>
    </row>
    <row r="40" spans="1:3" x14ac:dyDescent="0.25">
      <c r="A40" s="3" t="s">
        <v>109</v>
      </c>
      <c r="B40" s="91">
        <v>1653</v>
      </c>
      <c r="C40" s="112">
        <f>B40*AssumptionsFor20!B$2</f>
        <v>66.12</v>
      </c>
    </row>
    <row r="41" spans="1:3" x14ac:dyDescent="0.25">
      <c r="A41" s="3" t="s">
        <v>309</v>
      </c>
      <c r="B41" s="91">
        <v>2604</v>
      </c>
      <c r="C41" s="112">
        <f>B41*AssumptionsFor20!B$2</f>
        <v>104.16</v>
      </c>
    </row>
    <row r="42" spans="1:3" x14ac:dyDescent="0.25">
      <c r="A42" s="3" t="s">
        <v>310</v>
      </c>
      <c r="B42" s="91">
        <v>1479</v>
      </c>
      <c r="C42" s="112">
        <f>B42*AssumptionsFor20!B$2</f>
        <v>59.160000000000004</v>
      </c>
    </row>
    <row r="43" spans="1:3" x14ac:dyDescent="0.25">
      <c r="A43" s="3" t="s">
        <v>311</v>
      </c>
      <c r="B43" s="91">
        <v>2569</v>
      </c>
      <c r="C43" s="112">
        <f>B43*AssumptionsFor20!B$2</f>
        <v>102.76</v>
      </c>
    </row>
    <row r="44" spans="1:3" x14ac:dyDescent="0.25">
      <c r="A44" s="3" t="s">
        <v>312</v>
      </c>
      <c r="B44" s="91">
        <v>1941</v>
      </c>
      <c r="C44" s="112">
        <f>B44*AssumptionsFor20!B$2</f>
        <v>77.64</v>
      </c>
    </row>
    <row r="45" spans="1:3" x14ac:dyDescent="0.25">
      <c r="A45" s="3" t="s">
        <v>313</v>
      </c>
      <c r="B45" s="91">
        <v>2793</v>
      </c>
      <c r="C45" s="112">
        <f>B45*AssumptionsFor20!B$2</f>
        <v>111.72</v>
      </c>
    </row>
    <row r="46" spans="1:3" x14ac:dyDescent="0.25">
      <c r="A46" s="3" t="s">
        <v>314</v>
      </c>
      <c r="B46" s="91">
        <v>2614</v>
      </c>
      <c r="C46" s="112">
        <f>B46*AssumptionsFor20!B$2</f>
        <v>104.56</v>
      </c>
    </row>
    <row r="47" spans="1:3" x14ac:dyDescent="0.25">
      <c r="A47" s="3" t="s">
        <v>315</v>
      </c>
      <c r="B47" s="91">
        <v>1645</v>
      </c>
      <c r="C47" s="112">
        <f>B47*AssumptionsFor20!B$2</f>
        <v>65.8</v>
      </c>
    </row>
    <row r="48" spans="1:3" x14ac:dyDescent="0.25">
      <c r="A48" s="3" t="s">
        <v>316</v>
      </c>
      <c r="B48" s="91">
        <v>1733</v>
      </c>
      <c r="C48" s="112">
        <f>B48*AssumptionsFor20!B$2</f>
        <v>69.320000000000007</v>
      </c>
    </row>
    <row r="49" spans="1:3" x14ac:dyDescent="0.25">
      <c r="A49" s="3" t="s">
        <v>317</v>
      </c>
      <c r="B49" s="91">
        <v>2466</v>
      </c>
      <c r="C49" s="112">
        <f>B49*AssumptionsFor20!B$2</f>
        <v>98.64</v>
      </c>
    </row>
    <row r="50" spans="1:3" x14ac:dyDescent="0.25">
      <c r="A50" s="3" t="s">
        <v>318</v>
      </c>
      <c r="B50" s="91">
        <v>2833</v>
      </c>
      <c r="C50" s="112">
        <f>B50*AssumptionsFor20!B$2</f>
        <v>113.32000000000001</v>
      </c>
    </row>
    <row r="51" spans="1:3" x14ac:dyDescent="0.25">
      <c r="A51" s="3" t="s">
        <v>319</v>
      </c>
      <c r="B51" s="91">
        <v>1604</v>
      </c>
      <c r="C51" s="112">
        <f>B51*AssumptionsFor20!B$2</f>
        <v>64.16</v>
      </c>
    </row>
    <row r="52" spans="1:3" x14ac:dyDescent="0.25">
      <c r="A52" s="3" t="s">
        <v>320</v>
      </c>
      <c r="B52" s="91">
        <v>2588</v>
      </c>
      <c r="C52" s="112">
        <f>B52*AssumptionsFor20!B$2</f>
        <v>103.52</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14"/>
  <sheetViews>
    <sheetView workbookViewId="0">
      <selection activeCell="C21" sqref="C21"/>
    </sheetView>
  </sheetViews>
  <sheetFormatPr defaultColWidth="17.140625" defaultRowHeight="15" x14ac:dyDescent="0.25"/>
  <cols>
    <col min="1" max="1" width="11.85546875" bestFit="1" customWidth="1"/>
    <col min="2" max="2" width="13.140625" customWidth="1"/>
    <col min="3" max="3" width="11" bestFit="1" customWidth="1"/>
    <col min="257" max="257" width="11.85546875" bestFit="1" customWidth="1"/>
    <col min="258" max="258" width="10.5703125" bestFit="1" customWidth="1"/>
    <col min="513" max="513" width="11.85546875" bestFit="1" customWidth="1"/>
    <col min="514" max="514" width="10.5703125" bestFit="1" customWidth="1"/>
    <col min="769" max="769" width="11.85546875" bestFit="1" customWidth="1"/>
    <col min="770" max="770" width="10.5703125" bestFit="1" customWidth="1"/>
    <col min="1025" max="1025" width="11.85546875" bestFit="1" customWidth="1"/>
    <col min="1026" max="1026" width="10.5703125" bestFit="1" customWidth="1"/>
    <col min="1281" max="1281" width="11.85546875" bestFit="1" customWidth="1"/>
    <col min="1282" max="1282" width="10.5703125" bestFit="1" customWidth="1"/>
    <col min="1537" max="1537" width="11.85546875" bestFit="1" customWidth="1"/>
    <col min="1538" max="1538" width="10.5703125" bestFit="1" customWidth="1"/>
    <col min="1793" max="1793" width="11.85546875" bestFit="1" customWidth="1"/>
    <col min="1794" max="1794" width="10.5703125" bestFit="1" customWidth="1"/>
    <col min="2049" max="2049" width="11.85546875" bestFit="1" customWidth="1"/>
    <col min="2050" max="2050" width="10.5703125" bestFit="1" customWidth="1"/>
    <col min="2305" max="2305" width="11.85546875" bestFit="1" customWidth="1"/>
    <col min="2306" max="2306" width="10.5703125" bestFit="1" customWidth="1"/>
    <col min="2561" max="2561" width="11.85546875" bestFit="1" customWidth="1"/>
    <col min="2562" max="2562" width="10.5703125" bestFit="1" customWidth="1"/>
    <col min="2817" max="2817" width="11.85546875" bestFit="1" customWidth="1"/>
    <col min="2818" max="2818" width="10.5703125" bestFit="1" customWidth="1"/>
    <col min="3073" max="3073" width="11.85546875" bestFit="1" customWidth="1"/>
    <col min="3074" max="3074" width="10.5703125" bestFit="1" customWidth="1"/>
    <col min="3329" max="3329" width="11.85546875" bestFit="1" customWidth="1"/>
    <col min="3330" max="3330" width="10.5703125" bestFit="1" customWidth="1"/>
    <col min="3585" max="3585" width="11.85546875" bestFit="1" customWidth="1"/>
    <col min="3586" max="3586" width="10.5703125" bestFit="1" customWidth="1"/>
    <col min="3841" max="3841" width="11.85546875" bestFit="1" customWidth="1"/>
    <col min="3842" max="3842" width="10.5703125" bestFit="1" customWidth="1"/>
    <col min="4097" max="4097" width="11.85546875" bestFit="1" customWidth="1"/>
    <col min="4098" max="4098" width="10.5703125" bestFit="1" customWidth="1"/>
    <col min="4353" max="4353" width="11.85546875" bestFit="1" customWidth="1"/>
    <col min="4354" max="4354" width="10.5703125" bestFit="1" customWidth="1"/>
    <col min="4609" max="4609" width="11.85546875" bestFit="1" customWidth="1"/>
    <col min="4610" max="4610" width="10.5703125" bestFit="1" customWidth="1"/>
    <col min="4865" max="4865" width="11.85546875" bestFit="1" customWidth="1"/>
    <col min="4866" max="4866" width="10.5703125" bestFit="1" customWidth="1"/>
    <col min="5121" max="5121" width="11.85546875" bestFit="1" customWidth="1"/>
    <col min="5122" max="5122" width="10.5703125" bestFit="1" customWidth="1"/>
    <col min="5377" max="5377" width="11.85546875" bestFit="1" customWidth="1"/>
    <col min="5378" max="5378" width="10.5703125" bestFit="1" customWidth="1"/>
    <col min="5633" max="5633" width="11.85546875" bestFit="1" customWidth="1"/>
    <col min="5634" max="5634" width="10.5703125" bestFit="1" customWidth="1"/>
    <col min="5889" max="5889" width="11.85546875" bestFit="1" customWidth="1"/>
    <col min="5890" max="5890" width="10.5703125" bestFit="1" customWidth="1"/>
    <col min="6145" max="6145" width="11.85546875" bestFit="1" customWidth="1"/>
    <col min="6146" max="6146" width="10.5703125" bestFit="1" customWidth="1"/>
    <col min="6401" max="6401" width="11.85546875" bestFit="1" customWidth="1"/>
    <col min="6402" max="6402" width="10.5703125" bestFit="1" customWidth="1"/>
    <col min="6657" max="6657" width="11.85546875" bestFit="1" customWidth="1"/>
    <col min="6658" max="6658" width="10.5703125" bestFit="1" customWidth="1"/>
    <col min="6913" max="6913" width="11.85546875" bestFit="1" customWidth="1"/>
    <col min="6914" max="6914" width="10.5703125" bestFit="1" customWidth="1"/>
    <col min="7169" max="7169" width="11.85546875" bestFit="1" customWidth="1"/>
    <col min="7170" max="7170" width="10.5703125" bestFit="1" customWidth="1"/>
    <col min="7425" max="7425" width="11.85546875" bestFit="1" customWidth="1"/>
    <col min="7426" max="7426" width="10.5703125" bestFit="1" customWidth="1"/>
    <col min="7681" max="7681" width="11.85546875" bestFit="1" customWidth="1"/>
    <col min="7682" max="7682" width="10.5703125" bestFit="1" customWidth="1"/>
    <col min="7937" max="7937" width="11.85546875" bestFit="1" customWidth="1"/>
    <col min="7938" max="7938" width="10.5703125" bestFit="1" customWidth="1"/>
    <col min="8193" max="8193" width="11.85546875" bestFit="1" customWidth="1"/>
    <col min="8194" max="8194" width="10.5703125" bestFit="1" customWidth="1"/>
    <col min="8449" max="8449" width="11.85546875" bestFit="1" customWidth="1"/>
    <col min="8450" max="8450" width="10.5703125" bestFit="1" customWidth="1"/>
    <col min="8705" max="8705" width="11.85546875" bestFit="1" customWidth="1"/>
    <col min="8706" max="8706" width="10.5703125" bestFit="1" customWidth="1"/>
    <col min="8961" max="8961" width="11.85546875" bestFit="1" customWidth="1"/>
    <col min="8962" max="8962" width="10.5703125" bestFit="1" customWidth="1"/>
    <col min="9217" max="9217" width="11.85546875" bestFit="1" customWidth="1"/>
    <col min="9218" max="9218" width="10.5703125" bestFit="1" customWidth="1"/>
    <col min="9473" max="9473" width="11.85546875" bestFit="1" customWidth="1"/>
    <col min="9474" max="9474" width="10.5703125" bestFit="1" customWidth="1"/>
    <col min="9729" max="9729" width="11.85546875" bestFit="1" customWidth="1"/>
    <col min="9730" max="9730" width="10.5703125" bestFit="1" customWidth="1"/>
    <col min="9985" max="9985" width="11.85546875" bestFit="1" customWidth="1"/>
    <col min="9986" max="9986" width="10.5703125" bestFit="1" customWidth="1"/>
    <col min="10241" max="10241" width="11.85546875" bestFit="1" customWidth="1"/>
    <col min="10242" max="10242" width="10.5703125" bestFit="1" customWidth="1"/>
    <col min="10497" max="10497" width="11.85546875" bestFit="1" customWidth="1"/>
    <col min="10498" max="10498" width="10.5703125" bestFit="1" customWidth="1"/>
    <col min="10753" max="10753" width="11.85546875" bestFit="1" customWidth="1"/>
    <col min="10754" max="10754" width="10.5703125" bestFit="1" customWidth="1"/>
    <col min="11009" max="11009" width="11.85546875" bestFit="1" customWidth="1"/>
    <col min="11010" max="11010" width="10.5703125" bestFit="1" customWidth="1"/>
    <col min="11265" max="11265" width="11.85546875" bestFit="1" customWidth="1"/>
    <col min="11266" max="11266" width="10.5703125" bestFit="1" customWidth="1"/>
    <col min="11521" max="11521" width="11.85546875" bestFit="1" customWidth="1"/>
    <col min="11522" max="11522" width="10.5703125" bestFit="1" customWidth="1"/>
    <col min="11777" max="11777" width="11.85546875" bestFit="1" customWidth="1"/>
    <col min="11778" max="11778" width="10.5703125" bestFit="1" customWidth="1"/>
    <col min="12033" max="12033" width="11.85546875" bestFit="1" customWidth="1"/>
    <col min="12034" max="12034" width="10.5703125" bestFit="1" customWidth="1"/>
    <col min="12289" max="12289" width="11.85546875" bestFit="1" customWidth="1"/>
    <col min="12290" max="12290" width="10.5703125" bestFit="1" customWidth="1"/>
    <col min="12545" max="12545" width="11.85546875" bestFit="1" customWidth="1"/>
    <col min="12546" max="12546" width="10.5703125" bestFit="1" customWidth="1"/>
    <col min="12801" max="12801" width="11.85546875" bestFit="1" customWidth="1"/>
    <col min="12802" max="12802" width="10.5703125" bestFit="1" customWidth="1"/>
    <col min="13057" max="13057" width="11.85546875" bestFit="1" customWidth="1"/>
    <col min="13058" max="13058" width="10.5703125" bestFit="1" customWidth="1"/>
    <col min="13313" max="13313" width="11.85546875" bestFit="1" customWidth="1"/>
    <col min="13314" max="13314" width="10.5703125" bestFit="1" customWidth="1"/>
    <col min="13569" max="13569" width="11.85546875" bestFit="1" customWidth="1"/>
    <col min="13570" max="13570" width="10.5703125" bestFit="1" customWidth="1"/>
    <col min="13825" max="13825" width="11.85546875" bestFit="1" customWidth="1"/>
    <col min="13826" max="13826" width="10.5703125" bestFit="1" customWidth="1"/>
    <col min="14081" max="14081" width="11.85546875" bestFit="1" customWidth="1"/>
    <col min="14082" max="14082" width="10.5703125" bestFit="1" customWidth="1"/>
    <col min="14337" max="14337" width="11.85546875" bestFit="1" customWidth="1"/>
    <col min="14338" max="14338" width="10.5703125" bestFit="1" customWidth="1"/>
    <col min="14593" max="14593" width="11.85546875" bestFit="1" customWidth="1"/>
    <col min="14594" max="14594" width="10.5703125" bestFit="1" customWidth="1"/>
    <col min="14849" max="14849" width="11.85546875" bestFit="1" customWidth="1"/>
    <col min="14850" max="14850" width="10.5703125" bestFit="1" customWidth="1"/>
    <col min="15105" max="15105" width="11.85546875" bestFit="1" customWidth="1"/>
    <col min="15106" max="15106" width="10.5703125" bestFit="1" customWidth="1"/>
    <col min="15361" max="15361" width="11.85546875" bestFit="1" customWidth="1"/>
    <col min="15362" max="15362" width="10.5703125" bestFit="1" customWidth="1"/>
    <col min="15617" max="15617" width="11.85546875" bestFit="1" customWidth="1"/>
    <col min="15618" max="15618" width="10.5703125" bestFit="1" customWidth="1"/>
    <col min="15873" max="15873" width="11.85546875" bestFit="1" customWidth="1"/>
    <col min="15874" max="15874" width="10.5703125" bestFit="1" customWidth="1"/>
    <col min="16129" max="16129" width="11.85546875" bestFit="1" customWidth="1"/>
    <col min="16130" max="16130" width="10.5703125" bestFit="1" customWidth="1"/>
  </cols>
  <sheetData>
    <row r="1" spans="1:5" x14ac:dyDescent="0.25">
      <c r="A1" s="155" t="s">
        <v>611</v>
      </c>
      <c r="B1" s="155"/>
      <c r="C1" s="155"/>
      <c r="D1" s="155"/>
      <c r="E1" s="155"/>
    </row>
    <row r="3" spans="1:5" x14ac:dyDescent="0.25">
      <c r="A3" s="110" t="s">
        <v>104</v>
      </c>
      <c r="B3" s="110" t="s">
        <v>105</v>
      </c>
    </row>
    <row r="4" spans="1:5" x14ac:dyDescent="0.25">
      <c r="A4" s="3" t="s">
        <v>275</v>
      </c>
      <c r="B4" s="91">
        <v>1161</v>
      </c>
    </row>
    <row r="5" spans="1:5" x14ac:dyDescent="0.25">
      <c r="A5" s="3" t="s">
        <v>276</v>
      </c>
      <c r="B5" s="91">
        <v>1321</v>
      </c>
    </row>
    <row r="6" spans="1:5" x14ac:dyDescent="0.25">
      <c r="A6" s="3" t="s">
        <v>277</v>
      </c>
      <c r="B6" s="91">
        <v>1039</v>
      </c>
    </row>
    <row r="7" spans="1:5" x14ac:dyDescent="0.25">
      <c r="A7" s="3" t="s">
        <v>278</v>
      </c>
      <c r="B7" s="91">
        <v>1761</v>
      </c>
    </row>
    <row r="8" spans="1:5" x14ac:dyDescent="0.25">
      <c r="A8" s="3" t="s">
        <v>279</v>
      </c>
      <c r="B8" s="91">
        <v>1561</v>
      </c>
    </row>
    <row r="9" spans="1:5" x14ac:dyDescent="0.25">
      <c r="A9" s="3" t="s">
        <v>280</v>
      </c>
      <c r="B9" s="91">
        <v>1868</v>
      </c>
    </row>
    <row r="10" spans="1:5" x14ac:dyDescent="0.25">
      <c r="A10" s="3" t="s">
        <v>281</v>
      </c>
      <c r="B10" s="91">
        <v>2787</v>
      </c>
    </row>
    <row r="11" spans="1:5" x14ac:dyDescent="0.25">
      <c r="A11" s="3" t="s">
        <v>282</v>
      </c>
      <c r="B11" s="91">
        <v>1849</v>
      </c>
    </row>
    <row r="12" spans="1:5" x14ac:dyDescent="0.25">
      <c r="A12" s="3" t="s">
        <v>283</v>
      </c>
      <c r="B12" s="91">
        <v>2627</v>
      </c>
    </row>
    <row r="13" spans="1:5" x14ac:dyDescent="0.25">
      <c r="A13" s="3" t="s">
        <v>284</v>
      </c>
      <c r="B13" s="91">
        <v>2165</v>
      </c>
    </row>
    <row r="14" spans="1:5" x14ac:dyDescent="0.25">
      <c r="A14" s="3" t="s">
        <v>404</v>
      </c>
      <c r="B14" s="91">
        <f>B13+B12+B11+B10+B9+B8+B7+B6+B5+B4</f>
        <v>18139</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4"/>
  <sheetViews>
    <sheetView workbookViewId="0">
      <selection activeCell="C21" sqref="C21"/>
    </sheetView>
  </sheetViews>
  <sheetFormatPr defaultColWidth="17.140625" defaultRowHeight="15" x14ac:dyDescent="0.25"/>
  <cols>
    <col min="1" max="1" width="11.85546875" bestFit="1" customWidth="1"/>
    <col min="2" max="2" width="10.85546875" bestFit="1" customWidth="1"/>
    <col min="3" max="3" width="11" bestFit="1" customWidth="1"/>
    <col min="257" max="257" width="11.85546875" bestFit="1" customWidth="1"/>
    <col min="258" max="258" width="10.5703125" bestFit="1" customWidth="1"/>
    <col min="513" max="513" width="11.85546875" bestFit="1" customWidth="1"/>
    <col min="514" max="514" width="10.5703125" bestFit="1" customWidth="1"/>
    <col min="769" max="769" width="11.85546875" bestFit="1" customWidth="1"/>
    <col min="770" max="770" width="10.5703125" bestFit="1" customWidth="1"/>
    <col min="1025" max="1025" width="11.85546875" bestFit="1" customWidth="1"/>
    <col min="1026" max="1026" width="10.5703125" bestFit="1" customWidth="1"/>
    <col min="1281" max="1281" width="11.85546875" bestFit="1" customWidth="1"/>
    <col min="1282" max="1282" width="10.5703125" bestFit="1" customWidth="1"/>
    <col min="1537" max="1537" width="11.85546875" bestFit="1" customWidth="1"/>
    <col min="1538" max="1538" width="10.5703125" bestFit="1" customWidth="1"/>
    <col min="1793" max="1793" width="11.85546875" bestFit="1" customWidth="1"/>
    <col min="1794" max="1794" width="10.5703125" bestFit="1" customWidth="1"/>
    <col min="2049" max="2049" width="11.85546875" bestFit="1" customWidth="1"/>
    <col min="2050" max="2050" width="10.5703125" bestFit="1" customWidth="1"/>
    <col min="2305" max="2305" width="11.85546875" bestFit="1" customWidth="1"/>
    <col min="2306" max="2306" width="10.5703125" bestFit="1" customWidth="1"/>
    <col min="2561" max="2561" width="11.85546875" bestFit="1" customWidth="1"/>
    <col min="2562" max="2562" width="10.5703125" bestFit="1" customWidth="1"/>
    <col min="2817" max="2817" width="11.85546875" bestFit="1" customWidth="1"/>
    <col min="2818" max="2818" width="10.5703125" bestFit="1" customWidth="1"/>
    <col min="3073" max="3073" width="11.85546875" bestFit="1" customWidth="1"/>
    <col min="3074" max="3074" width="10.5703125" bestFit="1" customWidth="1"/>
    <col min="3329" max="3329" width="11.85546875" bestFit="1" customWidth="1"/>
    <col min="3330" max="3330" width="10.5703125" bestFit="1" customWidth="1"/>
    <col min="3585" max="3585" width="11.85546875" bestFit="1" customWidth="1"/>
    <col min="3586" max="3586" width="10.5703125" bestFit="1" customWidth="1"/>
    <col min="3841" max="3841" width="11.85546875" bestFit="1" customWidth="1"/>
    <col min="3842" max="3842" width="10.5703125" bestFit="1" customWidth="1"/>
    <col min="4097" max="4097" width="11.85546875" bestFit="1" customWidth="1"/>
    <col min="4098" max="4098" width="10.5703125" bestFit="1" customWidth="1"/>
    <col min="4353" max="4353" width="11.85546875" bestFit="1" customWidth="1"/>
    <col min="4354" max="4354" width="10.5703125" bestFit="1" customWidth="1"/>
    <col min="4609" max="4609" width="11.85546875" bestFit="1" customWidth="1"/>
    <col min="4610" max="4610" width="10.5703125" bestFit="1" customWidth="1"/>
    <col min="4865" max="4865" width="11.85546875" bestFit="1" customWidth="1"/>
    <col min="4866" max="4866" width="10.5703125" bestFit="1" customWidth="1"/>
    <col min="5121" max="5121" width="11.85546875" bestFit="1" customWidth="1"/>
    <col min="5122" max="5122" width="10.5703125" bestFit="1" customWidth="1"/>
    <col min="5377" max="5377" width="11.85546875" bestFit="1" customWidth="1"/>
    <col min="5378" max="5378" width="10.5703125" bestFit="1" customWidth="1"/>
    <col min="5633" max="5633" width="11.85546875" bestFit="1" customWidth="1"/>
    <col min="5634" max="5634" width="10.5703125" bestFit="1" customWidth="1"/>
    <col min="5889" max="5889" width="11.85546875" bestFit="1" customWidth="1"/>
    <col min="5890" max="5890" width="10.5703125" bestFit="1" customWidth="1"/>
    <col min="6145" max="6145" width="11.85546875" bestFit="1" customWidth="1"/>
    <col min="6146" max="6146" width="10.5703125" bestFit="1" customWidth="1"/>
    <col min="6401" max="6401" width="11.85546875" bestFit="1" customWidth="1"/>
    <col min="6402" max="6402" width="10.5703125" bestFit="1" customWidth="1"/>
    <col min="6657" max="6657" width="11.85546875" bestFit="1" customWidth="1"/>
    <col min="6658" max="6658" width="10.5703125" bestFit="1" customWidth="1"/>
    <col min="6913" max="6913" width="11.85546875" bestFit="1" customWidth="1"/>
    <col min="6914" max="6914" width="10.5703125" bestFit="1" customWidth="1"/>
    <col min="7169" max="7169" width="11.85546875" bestFit="1" customWidth="1"/>
    <col min="7170" max="7170" width="10.5703125" bestFit="1" customWidth="1"/>
    <col min="7425" max="7425" width="11.85546875" bestFit="1" customWidth="1"/>
    <col min="7426" max="7426" width="10.5703125" bestFit="1" customWidth="1"/>
    <col min="7681" max="7681" width="11.85546875" bestFit="1" customWidth="1"/>
    <col min="7682" max="7682" width="10.5703125" bestFit="1" customWidth="1"/>
    <col min="7937" max="7937" width="11.85546875" bestFit="1" customWidth="1"/>
    <col min="7938" max="7938" width="10.5703125" bestFit="1" customWidth="1"/>
    <col min="8193" max="8193" width="11.85546875" bestFit="1" customWidth="1"/>
    <col min="8194" max="8194" width="10.5703125" bestFit="1" customWidth="1"/>
    <col min="8449" max="8449" width="11.85546875" bestFit="1" customWidth="1"/>
    <col min="8450" max="8450" width="10.5703125" bestFit="1" customWidth="1"/>
    <col min="8705" max="8705" width="11.85546875" bestFit="1" customWidth="1"/>
    <col min="8706" max="8706" width="10.5703125" bestFit="1" customWidth="1"/>
    <col min="8961" max="8961" width="11.85546875" bestFit="1" customWidth="1"/>
    <col min="8962" max="8962" width="10.5703125" bestFit="1" customWidth="1"/>
    <col min="9217" max="9217" width="11.85546875" bestFit="1" customWidth="1"/>
    <col min="9218" max="9218" width="10.5703125" bestFit="1" customWidth="1"/>
    <col min="9473" max="9473" width="11.85546875" bestFit="1" customWidth="1"/>
    <col min="9474" max="9474" width="10.5703125" bestFit="1" customWidth="1"/>
    <col min="9729" max="9729" width="11.85546875" bestFit="1" customWidth="1"/>
    <col min="9730" max="9730" width="10.5703125" bestFit="1" customWidth="1"/>
    <col min="9985" max="9985" width="11.85546875" bestFit="1" customWidth="1"/>
    <col min="9986" max="9986" width="10.5703125" bestFit="1" customWidth="1"/>
    <col min="10241" max="10241" width="11.85546875" bestFit="1" customWidth="1"/>
    <col min="10242" max="10242" width="10.5703125" bestFit="1" customWidth="1"/>
    <col min="10497" max="10497" width="11.85546875" bestFit="1" customWidth="1"/>
    <col min="10498" max="10498" width="10.5703125" bestFit="1" customWidth="1"/>
    <col min="10753" max="10753" width="11.85546875" bestFit="1" customWidth="1"/>
    <col min="10754" max="10754" width="10.5703125" bestFit="1" customWidth="1"/>
    <col min="11009" max="11009" width="11.85546875" bestFit="1" customWidth="1"/>
    <col min="11010" max="11010" width="10.5703125" bestFit="1" customWidth="1"/>
    <col min="11265" max="11265" width="11.85546875" bestFit="1" customWidth="1"/>
    <col min="11266" max="11266" width="10.5703125" bestFit="1" customWidth="1"/>
    <col min="11521" max="11521" width="11.85546875" bestFit="1" customWidth="1"/>
    <col min="11522" max="11522" width="10.5703125" bestFit="1" customWidth="1"/>
    <col min="11777" max="11777" width="11.85546875" bestFit="1" customWidth="1"/>
    <col min="11778" max="11778" width="10.5703125" bestFit="1" customWidth="1"/>
    <col min="12033" max="12033" width="11.85546875" bestFit="1" customWidth="1"/>
    <col min="12034" max="12034" width="10.5703125" bestFit="1" customWidth="1"/>
    <col min="12289" max="12289" width="11.85546875" bestFit="1" customWidth="1"/>
    <col min="12290" max="12290" width="10.5703125" bestFit="1" customWidth="1"/>
    <col min="12545" max="12545" width="11.85546875" bestFit="1" customWidth="1"/>
    <col min="12546" max="12546" width="10.5703125" bestFit="1" customWidth="1"/>
    <col min="12801" max="12801" width="11.85546875" bestFit="1" customWidth="1"/>
    <col min="12802" max="12802" width="10.5703125" bestFit="1" customWidth="1"/>
    <col min="13057" max="13057" width="11.85546875" bestFit="1" customWidth="1"/>
    <col min="13058" max="13058" width="10.5703125" bestFit="1" customWidth="1"/>
    <col min="13313" max="13313" width="11.85546875" bestFit="1" customWidth="1"/>
    <col min="13314" max="13314" width="10.5703125" bestFit="1" customWidth="1"/>
    <col min="13569" max="13569" width="11.85546875" bestFit="1" customWidth="1"/>
    <col min="13570" max="13570" width="10.5703125" bestFit="1" customWidth="1"/>
    <col min="13825" max="13825" width="11.85546875" bestFit="1" customWidth="1"/>
    <col min="13826" max="13826" width="10.5703125" bestFit="1" customWidth="1"/>
    <col min="14081" max="14081" width="11.85546875" bestFit="1" customWidth="1"/>
    <col min="14082" max="14082" width="10.5703125" bestFit="1" customWidth="1"/>
    <col min="14337" max="14337" width="11.85546875" bestFit="1" customWidth="1"/>
    <col min="14338" max="14338" width="10.5703125" bestFit="1" customWidth="1"/>
    <col min="14593" max="14593" width="11.85546875" bestFit="1" customWidth="1"/>
    <col min="14594" max="14594" width="10.5703125" bestFit="1" customWidth="1"/>
    <col min="14849" max="14849" width="11.85546875" bestFit="1" customWidth="1"/>
    <col min="14850" max="14850" width="10.5703125" bestFit="1" customWidth="1"/>
    <col min="15105" max="15105" width="11.85546875" bestFit="1" customWidth="1"/>
    <col min="15106" max="15106" width="10.5703125" bestFit="1" customWidth="1"/>
    <col min="15361" max="15361" width="11.85546875" bestFit="1" customWidth="1"/>
    <col min="15362" max="15362" width="10.5703125" bestFit="1" customWidth="1"/>
    <col min="15617" max="15617" width="11.85546875" bestFit="1" customWidth="1"/>
    <col min="15618" max="15618" width="10.5703125" bestFit="1" customWidth="1"/>
    <col min="15873" max="15873" width="11.85546875" bestFit="1" customWidth="1"/>
    <col min="15874" max="15874" width="10.5703125" bestFit="1" customWidth="1"/>
    <col min="16129" max="16129" width="11.85546875" bestFit="1" customWidth="1"/>
    <col min="16130" max="16130" width="10.5703125" bestFit="1" customWidth="1"/>
  </cols>
  <sheetData>
    <row r="1" spans="1:5" x14ac:dyDescent="0.25">
      <c r="A1" s="155" t="s">
        <v>611</v>
      </c>
      <c r="B1" s="155"/>
      <c r="C1" s="155"/>
      <c r="D1" s="155"/>
      <c r="E1" s="155"/>
    </row>
    <row r="3" spans="1:5" x14ac:dyDescent="0.25">
      <c r="A3" s="110" t="s">
        <v>104</v>
      </c>
      <c r="B3" s="110" t="s">
        <v>105</v>
      </c>
    </row>
    <row r="4" spans="1:5" x14ac:dyDescent="0.25">
      <c r="A4" s="3" t="s">
        <v>275</v>
      </c>
      <c r="B4" s="91">
        <v>1161</v>
      </c>
    </row>
    <row r="5" spans="1:5" x14ac:dyDescent="0.25">
      <c r="A5" s="3" t="s">
        <v>276</v>
      </c>
      <c r="B5" s="91">
        <v>1321</v>
      </c>
    </row>
    <row r="6" spans="1:5" x14ac:dyDescent="0.25">
      <c r="A6" s="3" t="s">
        <v>277</v>
      </c>
      <c r="B6" s="91">
        <v>1039</v>
      </c>
    </row>
    <row r="7" spans="1:5" x14ac:dyDescent="0.25">
      <c r="A7" s="3" t="s">
        <v>278</v>
      </c>
      <c r="B7" s="91">
        <v>1761</v>
      </c>
    </row>
    <row r="8" spans="1:5" x14ac:dyDescent="0.25">
      <c r="A8" s="3" t="s">
        <v>279</v>
      </c>
      <c r="B8" s="91">
        <v>1561</v>
      </c>
    </row>
    <row r="9" spans="1:5" x14ac:dyDescent="0.25">
      <c r="A9" s="3" t="s">
        <v>280</v>
      </c>
      <c r="B9" s="91">
        <v>1868</v>
      </c>
    </row>
    <row r="10" spans="1:5" x14ac:dyDescent="0.25">
      <c r="A10" s="3" t="s">
        <v>281</v>
      </c>
      <c r="B10" s="91">
        <v>2787</v>
      </c>
    </row>
    <row r="11" spans="1:5" x14ac:dyDescent="0.25">
      <c r="A11" s="3" t="s">
        <v>282</v>
      </c>
      <c r="B11" s="91">
        <v>1849</v>
      </c>
    </row>
    <row r="12" spans="1:5" x14ac:dyDescent="0.25">
      <c r="A12" s="3" t="s">
        <v>283</v>
      </c>
      <c r="B12" s="91">
        <v>2627</v>
      </c>
    </row>
    <row r="13" spans="1:5" x14ac:dyDescent="0.25">
      <c r="A13" s="3" t="s">
        <v>284</v>
      </c>
      <c r="B13" s="91">
        <v>2165</v>
      </c>
    </row>
    <row r="14" spans="1:5" x14ac:dyDescent="0.25">
      <c r="A14" s="3" t="s">
        <v>404</v>
      </c>
      <c r="B14" s="91">
        <f>SUM(B4:B13)</f>
        <v>18139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G12"/>
  <sheetViews>
    <sheetView workbookViewId="0">
      <selection activeCell="C21" sqref="C21"/>
    </sheetView>
  </sheetViews>
  <sheetFormatPr defaultColWidth="9.140625" defaultRowHeight="15" x14ac:dyDescent="0.25"/>
  <cols>
    <col min="1" max="1" width="11.28515625" customWidth="1"/>
    <col min="2" max="7" width="10.5703125" bestFit="1" customWidth="1"/>
    <col min="10" max="10" width="4.85546875" customWidth="1"/>
  </cols>
  <sheetData>
    <row r="1" spans="1:7" x14ac:dyDescent="0.25">
      <c r="B1" s="113" t="s">
        <v>321</v>
      </c>
      <c r="C1" s="113" t="s">
        <v>322</v>
      </c>
      <c r="D1" s="113" t="s">
        <v>323</v>
      </c>
      <c r="E1" s="113" t="s">
        <v>324</v>
      </c>
      <c r="F1" s="113" t="s">
        <v>260</v>
      </c>
      <c r="G1" s="113" t="s">
        <v>325</v>
      </c>
    </row>
    <row r="2" spans="1:7" x14ac:dyDescent="0.25">
      <c r="A2" s="5" t="s">
        <v>193</v>
      </c>
      <c r="B2" s="114">
        <v>20000</v>
      </c>
      <c r="C2" s="95"/>
      <c r="D2" s="95"/>
      <c r="E2" s="95"/>
      <c r="F2" s="95"/>
      <c r="G2" s="95"/>
    </row>
    <row r="4" spans="1:7" ht="45" x14ac:dyDescent="0.25">
      <c r="A4" s="115" t="s">
        <v>326</v>
      </c>
      <c r="B4" s="116">
        <v>1.0149999999999999</v>
      </c>
    </row>
    <row r="8" spans="1:7" x14ac:dyDescent="0.25">
      <c r="A8" s="1" t="s">
        <v>234</v>
      </c>
      <c r="B8" s="1" t="s">
        <v>327</v>
      </c>
      <c r="C8" s="1" t="s">
        <v>235</v>
      </c>
    </row>
    <row r="9" spans="1:7" x14ac:dyDescent="0.25">
      <c r="A9" s="91">
        <v>1000</v>
      </c>
      <c r="B9" s="117">
        <v>0.1</v>
      </c>
      <c r="C9" s="53"/>
      <c r="E9" t="s">
        <v>648</v>
      </c>
    </row>
    <row r="10" spans="1:7" x14ac:dyDescent="0.25">
      <c r="A10" s="91">
        <v>1000</v>
      </c>
      <c r="B10" s="117">
        <v>-0.1</v>
      </c>
      <c r="C10" s="53"/>
    </row>
    <row r="12" spans="1:7" x14ac:dyDescent="0.25">
      <c r="A12" t="s">
        <v>328</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3</vt:i4>
      </vt:variant>
    </vt:vector>
  </HeadingPairs>
  <TitlesOfParts>
    <vt:vector size="86" baseType="lpstr">
      <vt:lpstr>Topics</vt:lpstr>
      <vt:lpstr>Formula Notes</vt:lpstr>
      <vt:lpstr>Examples of Formulas</vt:lpstr>
      <vt:lpstr>Examples of Formulas (an)</vt:lpstr>
      <vt:lpstr>Math OOO</vt:lpstr>
      <vt:lpstr>Math OOO (an)</vt:lpstr>
      <vt:lpstr>How Formulas Calc</vt:lpstr>
      <vt:lpstr>How Formulas Calc (an)</vt:lpstr>
      <vt:lpstr>In-Decrease</vt:lpstr>
      <vt:lpstr>In-Decrease (an)</vt:lpstr>
      <vt:lpstr>Cell References</vt:lpstr>
      <vt:lpstr>CR(1)</vt:lpstr>
      <vt:lpstr>CR(1an)</vt:lpstr>
      <vt:lpstr>CR(2)</vt:lpstr>
      <vt:lpstr>CR(2an)</vt:lpstr>
      <vt:lpstr>CR(3)</vt:lpstr>
      <vt:lpstr>CR(3an)</vt:lpstr>
      <vt:lpstr>CR(4)</vt:lpstr>
      <vt:lpstr>CR(4an)</vt:lpstr>
      <vt:lpstr>CR(5)</vt:lpstr>
      <vt:lpstr>CR(5an)</vt:lpstr>
      <vt:lpstr>CR(6)</vt:lpstr>
      <vt:lpstr>CR(6an)</vt:lpstr>
      <vt:lpstr>CR(7)</vt:lpstr>
      <vt:lpstr>CR(7an)</vt:lpstr>
      <vt:lpstr>Scenarios</vt:lpstr>
      <vt:lpstr>Scenarios (an)</vt:lpstr>
      <vt:lpstr>CR(8)</vt:lpstr>
      <vt:lpstr>CR(8an)</vt:lpstr>
      <vt:lpstr>CAR</vt:lpstr>
      <vt:lpstr>CR(9)</vt:lpstr>
      <vt:lpstr>CR(9an)</vt:lpstr>
      <vt:lpstr>Corp</vt:lpstr>
      <vt:lpstr>Corp (an)</vt:lpstr>
      <vt:lpstr>Oak</vt:lpstr>
      <vt:lpstr>Sea</vt:lpstr>
      <vt:lpstr>Tac</vt:lpstr>
      <vt:lpstr>Tables-old</vt:lpstr>
      <vt:lpstr>Tables (an)-old</vt:lpstr>
      <vt:lpstr>HW ==&gt;&gt;</vt:lpstr>
      <vt:lpstr>HW(1)</vt:lpstr>
      <vt:lpstr>HW(1an)</vt:lpstr>
      <vt:lpstr>HW(2)</vt:lpstr>
      <vt:lpstr>HW(2an)</vt:lpstr>
      <vt:lpstr>HW(3)</vt:lpstr>
      <vt:lpstr>HW(3an)</vt:lpstr>
      <vt:lpstr>HW(4)</vt:lpstr>
      <vt:lpstr>HW(4an)</vt:lpstr>
      <vt:lpstr>HW(5)</vt:lpstr>
      <vt:lpstr>HW(5an)</vt:lpstr>
      <vt:lpstr>HW(6)</vt:lpstr>
      <vt:lpstr>HW(6an)</vt:lpstr>
      <vt:lpstr>HW(7)</vt:lpstr>
      <vt:lpstr>HW(7an)</vt:lpstr>
      <vt:lpstr>HW(8)</vt:lpstr>
      <vt:lpstr>HW(8an)</vt:lpstr>
      <vt:lpstr>HW(9)</vt:lpstr>
      <vt:lpstr>HW(9an)</vt:lpstr>
      <vt:lpstr>HW(10)</vt:lpstr>
      <vt:lpstr>HW(10an)</vt:lpstr>
      <vt:lpstr>HW(11)</vt:lpstr>
      <vt:lpstr>HW(11an)</vt:lpstr>
      <vt:lpstr>HW(12)</vt:lpstr>
      <vt:lpstr>HW(12an)</vt:lpstr>
      <vt:lpstr>HW(13)</vt:lpstr>
      <vt:lpstr>HW(13an)</vt:lpstr>
      <vt:lpstr>HW(14)</vt:lpstr>
      <vt:lpstr>HW(14an)</vt:lpstr>
      <vt:lpstr>HW(15)</vt:lpstr>
      <vt:lpstr>HW(15an)</vt:lpstr>
      <vt:lpstr>HW(16)</vt:lpstr>
      <vt:lpstr>HW(16an)</vt:lpstr>
      <vt:lpstr>HW(17)</vt:lpstr>
      <vt:lpstr>HW(17an)</vt:lpstr>
      <vt:lpstr>HW(18)</vt:lpstr>
      <vt:lpstr>HW(18an)</vt:lpstr>
      <vt:lpstr>HW(19)</vt:lpstr>
      <vt:lpstr>HW(19an)</vt:lpstr>
      <vt:lpstr>HW(20)</vt:lpstr>
      <vt:lpstr>AssumptionsFor20</vt:lpstr>
      <vt:lpstr>HW(20an)</vt:lpstr>
      <vt:lpstr>HW(21)</vt:lpstr>
      <vt:lpstr>HW(21an)</vt:lpstr>
      <vt:lpstr>'Cell References'!Print_Area</vt:lpstr>
      <vt:lpstr>'Formula Notes'!Print_Area</vt:lpstr>
      <vt:lpstr>'How Formulas Calc'!Print_Area</vt:lpstr>
    </vt:vector>
  </TitlesOfParts>
  <Company>Highline Community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2013-10-03T18:23:08Z</cp:lastPrinted>
  <dcterms:created xsi:type="dcterms:W3CDTF">2013-09-27T01:39:05Z</dcterms:created>
  <dcterms:modified xsi:type="dcterms:W3CDTF">2015-04-09T17:26:08Z</dcterms:modified>
</cp:coreProperties>
</file>