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P356-374" sheetId="1" r:id="rId1"/>
    <sheet name="P374-376" sheetId="2" r:id="rId2"/>
    <sheet name="P376-379&amp;383-386&amp;388-395" sheetId="3" r:id="rId3"/>
    <sheet name="P379-383" sheetId="4" r:id="rId4"/>
    <sheet name="P386-388" sheetId="5" r:id="rId5"/>
    <sheet name="P395-397" sheetId="6" r:id="rId6"/>
    <sheet name="P415-416" sheetId="7" r:id="rId7"/>
    <sheet name="P417-419" sheetId="8" r:id="rId8"/>
    <sheet name="Not Assigned ==&gt;&gt;" sheetId="9" r:id="rId9"/>
    <sheet name="Tax" sheetId="10" r:id="rId10"/>
    <sheet name="Depr." sheetId="11" r:id="rId11"/>
    <sheet name="Sheet10" sheetId="12" r:id="rId12"/>
    <sheet name="Sheet9" sheetId="13" r:id="rId13"/>
    <sheet name="Sheet8" sheetId="14" r:id="rId14"/>
    <sheet name="Sheet7" sheetId="15" r:id="rId15"/>
    <sheet name="Sheet6" sheetId="16" r:id="rId16"/>
    <sheet name="Sheet5" sheetId="17" r:id="rId17"/>
    <sheet name="Sheet4" sheetId="18" r:id="rId18"/>
    <sheet name="Sheet2" sheetId="19" r:id="rId19"/>
    <sheet name="High" sheetId="20" r:id="rId20"/>
    <sheet name="Sheet3" sheetId="21" r:id="rId21"/>
  </sheets>
  <externalReferences>
    <externalReference r:id="rId24"/>
    <externalReference r:id="rId25"/>
  </externalReferences>
  <definedNames>
    <definedName name="_xlfn.BAHTTEXT" hidden="1">#NAME?</definedName>
    <definedName name="Annual_Interest_Rate">'[1]figure 6.15'!$B$3</definedName>
    <definedName name="Capital" localSheetId="19">#REF!</definedName>
    <definedName name="Capital">'P386-388'!$B$3</definedName>
    <definedName name="D">TODAY()-(INT(RAND()*365*2+1)-INT(RAND()*1+1))</definedName>
    <definedName name="Ending_Value_of_Loan">'[1]figure 6.15'!$B$6</definedName>
    <definedName name="i">INT(RAND()*10000+1)</definedName>
    <definedName name="Life" localSheetId="19">#REF!</definedName>
    <definedName name="Life">'P386-388'!$B$5</definedName>
    <definedName name="Loan_duration_yrs">'[1]figure 6.15'!$B$4</definedName>
    <definedName name="Original_Loan">'[1]figure 6.15'!$B$2</definedName>
    <definedName name="periods_per_yr">'[1]figure 6.15'!$B$5</definedName>
    <definedName name="re">VLOOKUP(RAND()*COUNT('[2]Assumptions'!$G:$G)+1,OFFSET('[2]Assumptions'!$G$22,0,0,COUNTA('[2]Assumptions'!$G:$G),COUNTA('[2]Assumptions'!$G$22:$H$22)),2)</definedName>
    <definedName name="rn">CHAR(INT(RAND()*26)+65)&amp;CHAR(INT(RAND()*26)+65)&amp;CHAR(INT(RAND()*26)+65)</definedName>
    <definedName name="s">ROUND(RAND()*10000+1,2)</definedName>
    <definedName name="Salvage" localSheetId="19">#REF!</definedName>
    <definedName name="Salvage">'P386-388'!$B$4</definedName>
    <definedName name="sr">VLOOKUP(RAND()*COUNT('[2]Assumptions'!$D:$D)+1,OFFSET('[2]Assumptions'!$D$13,0,0,COUNTA('[2]Assumptions'!$D:$D),COUNTA('[2]Assumptions'!$D$13:$E$13)),2)</definedName>
    <definedName name="taxrate">0.35</definedName>
    <definedName name="v">VLOOKUP(RAND()*COUNT('[2]Assumptions'!$A:$A)+1,OFFSET('[2]Assumptions'!$A$1,0,0,COUNTA('[2]Assumptions'!$A:$A),COUNTA('[2]Assumptions'!$A$1:$B$1)),2)</definedName>
    <definedName name="xx">0.35</definedName>
  </definedNames>
  <calcPr fullCalcOnLoad="1"/>
</workbook>
</file>

<file path=xl/comments1.xml><?xml version="1.0" encoding="utf-8"?>
<comments xmlns="http://schemas.openxmlformats.org/spreadsheetml/2006/main">
  <authors>
    <author>MGIRVIN</author>
  </authors>
  <commentList>
    <comment ref="G5" authorId="0">
      <text>
        <r>
          <rPr>
            <b/>
            <sz val="8"/>
            <rFont val="Tahoma"/>
            <family val="2"/>
          </rPr>
          <t>Goal Seek</t>
        </r>
      </text>
    </comment>
    <comment ref="G6" authorId="0">
      <text>
        <r>
          <rPr>
            <sz val="8"/>
            <rFont val="Tahoma"/>
            <family val="2"/>
          </rPr>
          <t xml:space="preserve">
</t>
        </r>
      </text>
    </comment>
    <comment ref="D7" authorId="0">
      <text>
        <r>
          <rPr>
            <sz val="8"/>
            <rFont val="Tahoma"/>
            <family val="2"/>
          </rPr>
          <t>APR = Number of periods per year * Period Interest Rate
because RATE gave us rate per 1/2 year, we had to multiply it by 2</t>
        </r>
      </text>
    </comment>
    <comment ref="E8" authorId="0">
      <text>
        <r>
          <rPr>
            <b/>
            <sz val="8"/>
            <rFont val="Tahoma"/>
            <family val="2"/>
          </rPr>
          <t>NPER yields number of periods
because the period is a quarter, we had to divide our answer by 4</t>
        </r>
      </text>
    </comment>
  </commentList>
</comments>
</file>

<file path=xl/comments3.xml><?xml version="1.0" encoding="utf-8"?>
<comments xmlns="http://schemas.openxmlformats.org/spreadsheetml/2006/main">
  <authors>
    <author>MGIRVIN</author>
  </authors>
  <commentList>
    <comment ref="A21" authorId="0">
      <text>
        <r>
          <rPr>
            <b/>
            <sz val="8"/>
            <rFont val="Tahoma"/>
            <family val="2"/>
          </rPr>
          <t>See figure 6.11 on page 369</t>
        </r>
        <r>
          <rPr>
            <sz val="8"/>
            <rFont val="Tahoma"/>
            <family val="2"/>
          </rPr>
          <t xml:space="preserve">
</t>
        </r>
      </text>
    </comment>
    <comment ref="C14" authorId="0">
      <text>
        <r>
          <rPr>
            <b/>
            <sz val="8"/>
            <rFont val="Tahoma"/>
            <family val="2"/>
          </rPr>
          <t>There are 6 arguments in this function. The 6th argument does not show up in the Functions Arguments dialog box initially, be sure to TAB forward to find the 6th argument.</t>
        </r>
      </text>
    </comment>
  </commentList>
</comments>
</file>

<file path=xl/comments6.xml><?xml version="1.0" encoding="utf-8"?>
<comments xmlns="http://schemas.openxmlformats.org/spreadsheetml/2006/main">
  <authors>
    <author>MGIRVIN</author>
  </authors>
  <commentList>
    <comment ref="B22" authorId="0">
      <text>
        <r>
          <rPr>
            <b/>
            <sz val="16"/>
            <rFont val="Tahoma"/>
            <family val="2"/>
          </rPr>
          <t>Solution has a mistake</t>
        </r>
        <r>
          <rPr>
            <sz val="8"/>
            <rFont val="Tahoma"/>
            <family val="2"/>
          </rPr>
          <t xml:space="preserve">
</t>
        </r>
      </text>
    </comment>
  </commentList>
</comments>
</file>

<file path=xl/comments7.xml><?xml version="1.0" encoding="utf-8"?>
<comments xmlns="http://schemas.openxmlformats.org/spreadsheetml/2006/main">
  <authors>
    <author>MGIRVIN</author>
  </authors>
  <commentList>
    <comment ref="M7" authorId="0">
      <text>
        <r>
          <rPr>
            <b/>
            <sz val="8"/>
            <rFont val="Tahoma"/>
            <family val="2"/>
          </rPr>
          <t xml:space="preserve">mistake in textbook answer, they locked the Nominal rate when they were not supposed to.
</t>
        </r>
      </text>
    </comment>
    <comment ref="B17" authorId="0">
      <text>
        <r>
          <rPr>
            <b/>
            <sz val="8"/>
            <rFont val="Tahoma"/>
            <family val="2"/>
          </rPr>
          <t>Textbook answer is wrong. It mixes months and quarters. The quarterly PMT would have to be about $8000 for the answer to come out to 9.93 years</t>
        </r>
      </text>
    </comment>
  </commentList>
</comments>
</file>

<file path=xl/comments8.xml><?xml version="1.0" encoding="utf-8"?>
<comments xmlns="http://schemas.openxmlformats.org/spreadsheetml/2006/main">
  <authors>
    <author>MGIRVIN</author>
  </authors>
  <commentList>
    <comment ref="I7" authorId="0">
      <text>
        <r>
          <rPr>
            <b/>
            <sz val="8"/>
            <rFont val="Tahoma"/>
            <family val="2"/>
          </rPr>
          <t>Adjusted Percentage Rate (the Principal before points are subtratced still has to be paid back and so it is used to determine the monthly PMT. But when calculating the Adj. Rate, use Principal*(1-points) for PV argument.</t>
        </r>
      </text>
    </comment>
  </commentList>
</comments>
</file>

<file path=xl/sharedStrings.xml><?xml version="1.0" encoding="utf-8"?>
<sst xmlns="http://schemas.openxmlformats.org/spreadsheetml/2006/main" count="234" uniqueCount="173">
  <si>
    <t>TZEdge Project Financing Options</t>
  </si>
  <si>
    <t>OPTION</t>
  </si>
  <si>
    <t xml:space="preserve"> Periods per year</t>
  </si>
  <si>
    <t>Annual Interest Rate</t>
  </si>
  <si>
    <t>Duration in years</t>
  </si>
  <si>
    <t>Periodic Payment (PMT)</t>
  </si>
  <si>
    <t>Present Value (PV)</t>
  </si>
  <si>
    <t>Future Value (FV)</t>
  </si>
  <si>
    <t>Cashed in Money Market</t>
  </si>
  <si>
    <t>Funded all with CtrBank loan</t>
  </si>
  <si>
    <t>Funded all with NWN loan 1</t>
  </si>
  <si>
    <t>Funded all with NWN loan 2</t>
  </si>
  <si>
    <t>Criteria</t>
  </si>
  <si>
    <t>Rate</t>
  </si>
  <si>
    <t>Enough funds?</t>
  </si>
  <si>
    <t>Can we find the present value needed?</t>
  </si>
  <si>
    <t>Low rate, but how long until we pay off?</t>
  </si>
  <si>
    <t>RATE yields rate per period</t>
  </si>
  <si>
    <t>NPER yields number of periods</t>
  </si>
  <si>
    <t>less debt v. tax advantage of debt</t>
  </si>
  <si>
    <t>all debt</t>
  </si>
  <si>
    <t>Annual Loan Payments</t>
  </si>
  <si>
    <t>Enough Funds for Project?</t>
  </si>
  <si>
    <t>TZEdge Advertising Options</t>
  </si>
  <si>
    <t>Option Number</t>
  </si>
  <si>
    <t>Number of Compounding Periods per Year</t>
  </si>
  <si>
    <t>Loan Duration in Years</t>
  </si>
  <si>
    <t>Payment Per Period</t>
  </si>
  <si>
    <t>Present Value</t>
  </si>
  <si>
    <t>Future Value</t>
  </si>
  <si>
    <t>Total Yearly Payments</t>
  </si>
  <si>
    <t>Title</t>
  </si>
  <si>
    <t>Ad Show Inc.</t>
  </si>
  <si>
    <t>B &amp; H</t>
  </si>
  <si>
    <t>Months</t>
  </si>
  <si>
    <t>J, B &amp; A</t>
  </si>
  <si>
    <t>AdWest Inc.</t>
  </si>
  <si>
    <t>TZEdge Projected 5-Year Cash Flow Estimate</t>
  </si>
  <si>
    <t>Year:</t>
  </si>
  <si>
    <t>Sales Volume:</t>
  </si>
  <si>
    <t>Selling Price Shoes - per pair</t>
  </si>
  <si>
    <t xml:space="preserve">Revenue </t>
  </si>
  <si>
    <t>$/shoe</t>
  </si>
  <si>
    <t>Cost of Goods Sold:</t>
  </si>
  <si>
    <t>Selling Expense</t>
  </si>
  <si>
    <t>Operating Income</t>
  </si>
  <si>
    <t>Cash Flow Estimate:</t>
  </si>
  <si>
    <t>Amoritization Table Loan Option (1)</t>
  </si>
  <si>
    <t>Original Loan</t>
  </si>
  <si>
    <t>Loan duration yrs</t>
  </si>
  <si>
    <t>Number of periods per year</t>
  </si>
  <si>
    <t>Ending Value of Loan</t>
  </si>
  <si>
    <t>Quarterly Payment</t>
  </si>
  <si>
    <t>Period</t>
  </si>
  <si>
    <t>Remaining Principal</t>
  </si>
  <si>
    <t>Interest Payment</t>
  </si>
  <si>
    <t>Principal Payment</t>
  </si>
  <si>
    <t>ending balance</t>
  </si>
  <si>
    <t>Depreciation Values</t>
  </si>
  <si>
    <t>Capital</t>
  </si>
  <si>
    <t>Salvage</t>
  </si>
  <si>
    <t>Life</t>
  </si>
  <si>
    <t>Interest Expense</t>
  </si>
  <si>
    <t>Depreciation</t>
  </si>
  <si>
    <t>Taxable Income</t>
  </si>
  <si>
    <t>Taxes</t>
  </si>
  <si>
    <t>Income After Taxes</t>
  </si>
  <si>
    <t>Add Back Depreciation</t>
  </si>
  <si>
    <t>Subtract Principal Payments</t>
  </si>
  <si>
    <t>PMT</t>
  </si>
  <si>
    <t>Interest</t>
  </si>
  <si>
    <t>Paid on Principal</t>
  </si>
  <si>
    <t>Balance</t>
  </si>
  <si>
    <t>Period Rate</t>
  </si>
  <si>
    <t>Number of Periods</t>
  </si>
  <si>
    <t>Depreciation DDB</t>
  </si>
  <si>
    <t>Depreciation SYD</t>
  </si>
  <si>
    <t>Rate of Depreciation</t>
  </si>
  <si>
    <t>Depreciation VDB</t>
  </si>
  <si>
    <t>Depreciation DB (month)</t>
  </si>
  <si>
    <t>Tax Rate</t>
  </si>
  <si>
    <t>Yearly PMT</t>
  </si>
  <si>
    <t>Year</t>
  </si>
  <si>
    <t>Sales Volume</t>
  </si>
  <si>
    <t>Cost Savings Per Pair</t>
  </si>
  <si>
    <t>Cost Savings</t>
  </si>
  <si>
    <t>Net Cost Savings</t>
  </si>
  <si>
    <t>Additional Tax Owed</t>
  </si>
  <si>
    <t>Savings After Taxes</t>
  </si>
  <si>
    <t>Projected Cash Flow Estimate</t>
  </si>
  <si>
    <t>Cost Savings per ski =</t>
  </si>
  <si>
    <t>Ski Molding Project - Projected 4-Year Cash Flow Estimate</t>
  </si>
  <si>
    <t>Sales year one in units =</t>
  </si>
  <si>
    <t>sales unit increase per year increase =</t>
  </si>
  <si>
    <t>Amortization Table</t>
  </si>
  <si>
    <t>Principal Reduction</t>
  </si>
  <si>
    <t>Annual Rate for Loan</t>
  </si>
  <si>
    <t>Periods per Year</t>
  </si>
  <si>
    <t>PMT =</t>
  </si>
  <si>
    <t>Total Periods =</t>
  </si>
  <si>
    <t>Years</t>
  </si>
  <si>
    <t>Cost of machine + estimate is estimated to be (loan) =</t>
  </si>
  <si>
    <t>Salvage =</t>
  </si>
  <si>
    <t>Life =</t>
  </si>
  <si>
    <t>looking at the margins: cost savings</t>
  </si>
  <si>
    <t>looking at the margins: extra costs</t>
  </si>
  <si>
    <t>Assumptions</t>
  </si>
  <si>
    <t>annual rate</t>
  </si>
  <si>
    <t>duration -years</t>
  </si>
  <si>
    <t>compounding periods/year</t>
  </si>
  <si>
    <t>PV</t>
  </si>
  <si>
    <t>FV</t>
  </si>
  <si>
    <t>(1) CtrBank loan</t>
  </si>
  <si>
    <t>Depreciation Method (SLN)</t>
  </si>
  <si>
    <t>Asset Value</t>
  </si>
  <si>
    <t>Salvage Value</t>
  </si>
  <si>
    <t>SLN</t>
  </si>
  <si>
    <t xml:space="preserve">Project 5-Year Income after Taxes - High Capital Option (Original) </t>
  </si>
  <si>
    <t>Cost of Goods Sold -per pair</t>
  </si>
  <si>
    <t>Selling Expenses - per pair</t>
  </si>
  <si>
    <t>Income Taxes</t>
  </si>
  <si>
    <t>Hurdle Rate (Reflects TVM and risks of project):</t>
  </si>
  <si>
    <t>Loan Analysis Worksheet</t>
  </si>
  <si>
    <t>Purchase Price</t>
  </si>
  <si>
    <t>Number of Compounding Periods/year</t>
  </si>
  <si>
    <t>Optional Balloon Payment</t>
  </si>
  <si>
    <t>Option#</t>
  </si>
  <si>
    <t>Down Payment</t>
  </si>
  <si>
    <t>Nominal Interest Rate/yr</t>
  </si>
  <si>
    <t>Duration (yrs)</t>
  </si>
  <si>
    <t>Points</t>
  </si>
  <si>
    <t>Fees</t>
  </si>
  <si>
    <t xml:space="preserve">Monthly Payment </t>
  </si>
  <si>
    <t>Actual Amount Borrowed</t>
  </si>
  <si>
    <t>Payment with Balloon</t>
  </si>
  <si>
    <t>CD value enough for down payment:</t>
  </si>
  <si>
    <t>Loan Value (Subrtact Down)</t>
  </si>
  <si>
    <t>Adjusted APR</t>
  </si>
  <si>
    <t>Value of Bldg %</t>
  </si>
  <si>
    <t>Periods per year</t>
  </si>
  <si>
    <t>PMT per period</t>
  </si>
  <si>
    <t>years</t>
  </si>
  <si>
    <t>Annual Rate</t>
  </si>
  <si>
    <t>Private loan (1) annual rate Period Rate * 4</t>
  </si>
  <si>
    <t>Private loan (2) duration (Quarters/4):</t>
  </si>
  <si>
    <t>loan</t>
  </si>
  <si>
    <t>Item</t>
  </si>
  <si>
    <t>House</t>
  </si>
  <si>
    <t>Price</t>
  </si>
  <si>
    <t>Monthly Rate</t>
  </si>
  <si>
    <t>Down</t>
  </si>
  <si>
    <t>Loan</t>
  </si>
  <si>
    <t>Periods Per Year</t>
  </si>
  <si>
    <t>Type (0 = End, 1 = Begin)</t>
  </si>
  <si>
    <t>Total PMT Paid</t>
  </si>
  <si>
    <t>Adjusted Percentage Rate</t>
  </si>
  <si>
    <t>Total Interest Paid</t>
  </si>
  <si>
    <t>Total Principal Paid from PMT</t>
  </si>
  <si>
    <t>Total Principal Paid with Down</t>
  </si>
  <si>
    <t>Total Paid</t>
  </si>
  <si>
    <t>Periods</t>
  </si>
  <si>
    <t>Interest Paid (Amount that you can deduct/earn for taxes and on income statement)</t>
  </si>
  <si>
    <t>Loan Reduction</t>
  </si>
  <si>
    <t>Additional Payment</t>
  </si>
  <si>
    <t>Cumulative Interest For Year</t>
  </si>
  <si>
    <t>TAX</t>
  </si>
  <si>
    <t>Depreciaiton Calculation</t>
  </si>
  <si>
    <t>Asset Value:</t>
  </si>
  <si>
    <t>Salvage Value:</t>
  </si>
  <si>
    <t>Life:</t>
  </si>
  <si>
    <t>Straight Line Depreciation:</t>
  </si>
  <si>
    <t>Rate for DDB =</t>
  </si>
  <si>
    <t>DDB</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</si>
</sst>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_);_(&quot;$&quot;* \(#,##0\);_(&quot;$&quot;* &quot;0&quot;??_);_(@_)"/>
    <numFmt numFmtId="167" formatCode="0.0"/>
    <numFmt numFmtId="168" formatCode="_(* #,##0_);_(* \(#,##0\);_(* &quot;-&quot;??_);_(@_)"/>
    <numFmt numFmtId="169" formatCode="_(* #,##0_);_(* \(#,##0\);_(* &quot;0&quot;_);_(@_)"/>
    <numFmt numFmtId="170" formatCode="_(&quot;$&quot;* #,##0.0_);_(&quot;$&quot;* \(#,##0.0\);_(&quot;$&quot;* &quot;-&quot;??_);_(@_)"/>
    <numFmt numFmtId="171" formatCode="0.00000"/>
    <numFmt numFmtId="172" formatCode="0.0000"/>
    <numFmt numFmtId="173" formatCode="0.000"/>
    <numFmt numFmtId="174" formatCode="&quot;$&quot;#,##0.0_);[Red]\(&quot;$&quot;#,##0.0\)"/>
    <numFmt numFmtId="175" formatCode="&quot;Yes&quot;;&quot;Yes&quot;;&quot;No&quot;"/>
    <numFmt numFmtId="176" formatCode="&quot;True&quot;;&quot;True&quot;;&quot;False&quot;"/>
    <numFmt numFmtId="177" formatCode="&quot;On&quot;;&quot;On&quot;;&quot;Off&quot;"/>
    <numFmt numFmtId="178" formatCode="[$€-2]\ #,##0.00_);[Red]\([$€-2]\ #,##0.00\)"/>
    <numFmt numFmtId="179" formatCode="_(&quot;$&quot;* #,##0.000_);_(&quot;$&quot;* \(#,##0.000\);_(&quot;$&quot;* &quot;-&quot;??_);_(@_)"/>
    <numFmt numFmtId="180" formatCode="_(&quot;$&quot;* #,##0.0000_);_(&quot;$&quot;* \(#,##0.0000\);_(&quot;$&quot;* &quot;-&quot;??_);_(@_)"/>
    <numFmt numFmtId="181" formatCode="_(* #,##0.0_);_(* \(#,##0.0\);_(* &quot;-&quot;??_);_(@_)"/>
    <numFmt numFmtId="182" formatCode="0.000%"/>
    <numFmt numFmtId="183" formatCode="&quot;_____&quot;0.00"/>
    <numFmt numFmtId="184" formatCode="_(* #,##0.0_);_(* \(#,##0.0\);_(* &quot;-&quot;?_);_(@_)"/>
    <numFmt numFmtId="185" formatCode="0.0000%"/>
    <numFmt numFmtId="186" formatCode="_(* #,##0.000_);_(* \(#,##0.000\);_(* &quot;-&quot;??_);_(@_)"/>
    <numFmt numFmtId="187" formatCode="_(* #,##0.000_);_(* \(#,##0.000\);_(* &quot;-&quot;???_);_(@_)"/>
    <numFmt numFmtId="188" formatCode="&quot;$&quot;#,##0,"/>
    <numFmt numFmtId="189" formatCode="d\-mmm\-yyyy"/>
    <numFmt numFmtId="190" formatCode="#\ ???/???"/>
    <numFmt numFmtId="191" formatCode="0.000000"/>
    <numFmt numFmtId="192" formatCode="0.00%\ &quot;Compounded Monthly&quot;"/>
    <numFmt numFmtId="193" formatCode="0.000000000000000000"/>
    <numFmt numFmtId="194" formatCode="0.00000000000000000000"/>
    <numFmt numFmtId="195" formatCode="0.00000000"/>
    <numFmt numFmtId="196" formatCode="0.00%&quot; Tax Rate&quot;"/>
  </numFmts>
  <fonts count="55">
    <font>
      <sz val="10"/>
      <name val="Arial"/>
      <family val="0"/>
    </font>
    <font>
      <b/>
      <sz val="10"/>
      <name val="Arial"/>
      <family val="2"/>
    </font>
    <font>
      <sz val="8"/>
      <name val="Arial"/>
      <family val="2"/>
    </font>
    <font>
      <b/>
      <i/>
      <sz val="12"/>
      <color indexed="9"/>
      <name val="Arial"/>
      <family val="2"/>
    </font>
    <font>
      <sz val="8"/>
      <name val="Tahoma"/>
      <family val="2"/>
    </font>
    <font>
      <b/>
      <sz val="8"/>
      <name val="Tahoma"/>
      <family val="2"/>
    </font>
    <font>
      <b/>
      <sz val="12"/>
      <color indexed="9"/>
      <name val="Times New Roman"/>
      <family val="1"/>
    </font>
    <font>
      <sz val="10"/>
      <color indexed="9"/>
      <name val="Arial"/>
      <family val="2"/>
    </font>
    <font>
      <b/>
      <i/>
      <sz val="12"/>
      <name val="Arial"/>
      <family val="2"/>
    </font>
    <font>
      <b/>
      <sz val="12"/>
      <name val="Arial"/>
      <family val="2"/>
    </font>
    <font>
      <b/>
      <sz val="12"/>
      <color indexed="9"/>
      <name val="Arial"/>
      <family val="2"/>
    </font>
    <font>
      <b/>
      <sz val="16"/>
      <name val="Tahoma"/>
      <family val="2"/>
    </font>
    <font>
      <u val="single"/>
      <sz val="10"/>
      <color indexed="36"/>
      <name val="Arial"/>
      <family val="2"/>
    </font>
    <font>
      <u val="single"/>
      <sz val="10"/>
      <color indexed="12"/>
      <name val="Arial"/>
      <family val="2"/>
    </font>
    <font>
      <b/>
      <sz val="14"/>
      <color indexed="9"/>
      <name val="Arial"/>
      <family val="2"/>
    </font>
    <font>
      <sz val="12"/>
      <name val="Bookman Old Style"/>
      <family val="1"/>
    </font>
    <font>
      <b/>
      <sz val="16"/>
      <color indexed="53"/>
      <name val="Bell MT"/>
      <family val="1"/>
    </font>
    <font>
      <b/>
      <sz val="14"/>
      <name val="Arial"/>
      <family val="2"/>
    </font>
    <font>
      <b/>
      <sz val="10"/>
      <color indexed="9"/>
      <name val="Arial"/>
      <family val="2"/>
    </font>
    <font>
      <sz val="1.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75"/>
      <color indexed="8"/>
      <name val="Arial"/>
      <family val="2"/>
    </font>
    <font>
      <b/>
      <sz val="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s>
  <borders count="3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17" fillId="0" borderId="0" applyNumberForma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7" fillId="27" borderId="1">
      <alignment wrapText="1"/>
      <protection/>
    </xf>
    <xf numFmtId="0" fontId="7" fillId="27" borderId="1">
      <alignment horizontal="centerContinuous" wrapText="1"/>
      <protection/>
    </xf>
    <xf numFmtId="0" fontId="41" fillId="28" borderId="2" applyNumberFormat="0" applyAlignment="0" applyProtection="0"/>
    <xf numFmtId="0" fontId="4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15" fillId="0" borderId="0">
      <alignment/>
      <protection/>
    </xf>
    <xf numFmtId="0" fontId="43" fillId="0" borderId="0" applyNumberFormat="0" applyFill="0" applyBorder="0" applyAlignment="0" applyProtection="0"/>
    <xf numFmtId="0" fontId="12" fillId="0" borderId="0" applyNumberFormat="0" applyFill="0" applyBorder="0" applyAlignment="0" applyProtection="0"/>
    <xf numFmtId="189" fontId="1" fillId="0" borderId="0" applyFont="0" applyFill="0" applyBorder="0" applyProtection="0">
      <alignment horizontal="center"/>
    </xf>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1" borderId="2"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0" fillId="33" borderId="8" applyNumberFormat="0" applyFont="0" applyAlignment="0" applyProtection="0"/>
    <xf numFmtId="0" fontId="51" fillId="28" borderId="9" applyNumberFormat="0" applyAlignment="0" applyProtection="0"/>
    <xf numFmtId="9" fontId="0" fillId="0" borderId="0" applyFont="0" applyFill="0" applyBorder="0" applyAlignment="0" applyProtection="0"/>
    <xf numFmtId="190" fontId="16" fillId="34" borderId="10">
      <alignment horizontal="left" indent="2"/>
      <protection/>
    </xf>
    <xf numFmtId="0" fontId="0" fillId="35" borderId="1">
      <alignment horizontal="centerContinuous" wrapText="1"/>
      <protection/>
    </xf>
    <xf numFmtId="0" fontId="18" fillId="27" borderId="1">
      <alignment horizontal="center"/>
      <protection/>
    </xf>
    <xf numFmtId="0" fontId="52" fillId="0" borderId="11" applyNumberFormat="0" applyFill="0" applyAlignment="0" applyProtection="0"/>
    <xf numFmtId="0" fontId="53"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178">
    <xf numFmtId="0" fontId="0" fillId="0" borderId="0" xfId="0" applyAlignment="1">
      <alignment/>
    </xf>
    <xf numFmtId="0" fontId="0" fillId="0" borderId="0" xfId="0" applyAlignment="1">
      <alignment horizontal="center"/>
    </xf>
    <xf numFmtId="0" fontId="3" fillId="27" borderId="1" xfId="0" applyFont="1" applyFill="1" applyBorder="1" applyAlignment="1">
      <alignment horizontal="centerContinuous" wrapText="1"/>
    </xf>
    <xf numFmtId="0" fontId="0" fillId="0" borderId="1" xfId="0" applyBorder="1" applyAlignment="1">
      <alignment wrapText="1"/>
    </xf>
    <xf numFmtId="0" fontId="0" fillId="0" borderId="0" xfId="0" applyAlignment="1">
      <alignment wrapText="1"/>
    </xf>
    <xf numFmtId="0" fontId="1" fillId="37" borderId="1" xfId="0" applyFont="1" applyFill="1" applyBorder="1" applyAlignment="1">
      <alignment horizontal="center" wrapText="1"/>
    </xf>
    <xf numFmtId="0" fontId="0" fillId="37" borderId="1" xfId="0" applyFont="1" applyFill="1" applyBorder="1" applyAlignment="1">
      <alignment/>
    </xf>
    <xf numFmtId="10" fontId="0" fillId="37" borderId="1" xfId="0" applyNumberFormat="1" applyFont="1" applyFill="1" applyBorder="1" applyAlignment="1">
      <alignment/>
    </xf>
    <xf numFmtId="43" fontId="0" fillId="37" borderId="1" xfId="0" applyNumberFormat="1" applyFont="1" applyFill="1" applyBorder="1" applyAlignment="1">
      <alignment/>
    </xf>
    <xf numFmtId="8" fontId="0" fillId="37" borderId="1" xfId="0" applyNumberFormat="1" applyFont="1" applyFill="1" applyBorder="1" applyAlignment="1">
      <alignment/>
    </xf>
    <xf numFmtId="0" fontId="0" fillId="0" borderId="1" xfId="0" applyFont="1" applyFill="1" applyBorder="1" applyAlignment="1">
      <alignment/>
    </xf>
    <xf numFmtId="10" fontId="0" fillId="0" borderId="1" xfId="63" applyNumberFormat="1" applyFont="1" applyFill="1" applyBorder="1" applyAlignment="1">
      <alignment/>
    </xf>
    <xf numFmtId="43" fontId="0" fillId="0" borderId="1" xfId="44" applyFont="1" applyFill="1" applyBorder="1" applyAlignment="1">
      <alignment/>
    </xf>
    <xf numFmtId="43" fontId="0" fillId="0" borderId="1" xfId="46" applyNumberFormat="1" applyFont="1" applyFill="1" applyBorder="1" applyAlignment="1">
      <alignment/>
    </xf>
    <xf numFmtId="10" fontId="0" fillId="0" borderId="1" xfId="0" applyNumberFormat="1" applyFont="1" applyFill="1" applyBorder="1" applyAlignment="1">
      <alignment/>
    </xf>
    <xf numFmtId="43" fontId="0" fillId="0" borderId="1" xfId="0" applyNumberFormat="1" applyFont="1" applyFill="1" applyBorder="1" applyAlignment="1">
      <alignment/>
    </xf>
    <xf numFmtId="8" fontId="0" fillId="0" borderId="1" xfId="0" applyNumberFormat="1" applyFont="1" applyFill="1" applyBorder="1" applyAlignment="1">
      <alignment/>
    </xf>
    <xf numFmtId="43" fontId="0" fillId="0" borderId="1" xfId="0" applyNumberFormat="1" applyBorder="1" applyAlignment="1">
      <alignment/>
    </xf>
    <xf numFmtId="8" fontId="0" fillId="0" borderId="1" xfId="0" applyNumberFormat="1" applyBorder="1" applyAlignment="1">
      <alignment/>
    </xf>
    <xf numFmtId="8" fontId="0" fillId="37" borderId="1" xfId="46" applyNumberFormat="1" applyFont="1" applyFill="1" applyBorder="1" applyAlignment="1">
      <alignment/>
    </xf>
    <xf numFmtId="0" fontId="3" fillId="27" borderId="0" xfId="0" applyFont="1" applyFill="1" applyBorder="1" applyAlignment="1">
      <alignment horizontal="centerContinuous" wrapText="1"/>
    </xf>
    <xf numFmtId="0" fontId="0" fillId="0" borderId="1" xfId="0" applyBorder="1" applyAlignment="1">
      <alignment/>
    </xf>
    <xf numFmtId="10" fontId="0" fillId="37" borderId="1" xfId="63" applyNumberFormat="1" applyFont="1" applyFill="1" applyBorder="1" applyAlignment="1">
      <alignment/>
    </xf>
    <xf numFmtId="165" fontId="0" fillId="37" borderId="1" xfId="46" applyNumberFormat="1" applyFont="1" applyFill="1" applyBorder="1" applyAlignment="1">
      <alignment/>
    </xf>
    <xf numFmtId="0" fontId="6" fillId="27" borderId="12" xfId="0" applyFont="1" applyFill="1" applyBorder="1" applyAlignment="1">
      <alignment horizontal="centerContinuous" wrapText="1"/>
    </xf>
    <xf numFmtId="0" fontId="6" fillId="27" borderId="13" xfId="0" applyFont="1" applyFill="1" applyBorder="1" applyAlignment="1">
      <alignment horizontal="centerContinuous" wrapText="1"/>
    </xf>
    <xf numFmtId="0" fontId="6" fillId="27" borderId="14" xfId="0" applyFont="1" applyFill="1" applyBorder="1" applyAlignment="1">
      <alignment horizontal="centerContinuous" wrapText="1"/>
    </xf>
    <xf numFmtId="0" fontId="7" fillId="27" borderId="1" xfId="0" applyFont="1" applyFill="1" applyBorder="1" applyAlignment="1">
      <alignment horizontal="centerContinuous" wrapText="1"/>
    </xf>
    <xf numFmtId="0" fontId="0" fillId="37" borderId="1" xfId="0" applyFont="1" applyFill="1" applyBorder="1" applyAlignment="1">
      <alignment horizontal="center" wrapText="1"/>
    </xf>
    <xf numFmtId="10" fontId="0" fillId="0" borderId="1" xfId="63" applyNumberFormat="1" applyFont="1" applyFill="1" applyBorder="1" applyAlignment="1">
      <alignment/>
    </xf>
    <xf numFmtId="165" fontId="0" fillId="0" borderId="1" xfId="46" applyNumberFormat="1" applyFont="1" applyFill="1" applyBorder="1" applyAlignment="1">
      <alignment/>
    </xf>
    <xf numFmtId="165" fontId="0" fillId="0" borderId="1" xfId="0" applyNumberFormat="1" applyFill="1" applyBorder="1" applyAlignment="1">
      <alignment/>
    </xf>
    <xf numFmtId="0" fontId="0" fillId="0" borderId="1" xfId="63" applyNumberFormat="1" applyFont="1" applyFill="1" applyBorder="1" applyAlignment="1">
      <alignment/>
    </xf>
    <xf numFmtId="2" fontId="0" fillId="0" borderId="1" xfId="0" applyNumberFormat="1" applyFill="1" applyBorder="1" applyAlignment="1">
      <alignment/>
    </xf>
    <xf numFmtId="0" fontId="0" fillId="37" borderId="1" xfId="63" applyNumberFormat="1" applyFont="1" applyFill="1" applyBorder="1" applyAlignment="1">
      <alignment/>
    </xf>
    <xf numFmtId="2" fontId="0" fillId="37" borderId="1" xfId="0" applyNumberForma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right"/>
    </xf>
    <xf numFmtId="0" fontId="0" fillId="37" borderId="0" xfId="0" applyFill="1" applyBorder="1" applyAlignment="1">
      <alignment/>
    </xf>
    <xf numFmtId="0" fontId="0" fillId="37" borderId="19" xfId="0" applyFill="1" applyBorder="1" applyAlignment="1">
      <alignment/>
    </xf>
    <xf numFmtId="0" fontId="0" fillId="0" borderId="1" xfId="0" applyBorder="1" applyAlignment="1">
      <alignment horizontal="left"/>
    </xf>
    <xf numFmtId="0" fontId="0" fillId="0" borderId="1" xfId="0" applyFill="1" applyBorder="1" applyAlignment="1">
      <alignment/>
    </xf>
    <xf numFmtId="165" fontId="0" fillId="0" borderId="1" xfId="46" applyNumberFormat="1" applyBorder="1" applyAlignment="1">
      <alignment/>
    </xf>
    <xf numFmtId="0" fontId="0" fillId="37" borderId="1" xfId="0" applyFill="1" applyBorder="1" applyAlignment="1">
      <alignment/>
    </xf>
    <xf numFmtId="0" fontId="0" fillId="37" borderId="1" xfId="0" applyFill="1" applyBorder="1" applyAlignment="1">
      <alignment horizontal="center"/>
    </xf>
    <xf numFmtId="44" fontId="0" fillId="0" borderId="1" xfId="46" applyBorder="1" applyAlignment="1">
      <alignment horizontal="center"/>
    </xf>
    <xf numFmtId="44" fontId="0" fillId="0" borderId="1" xfId="46" applyFill="1" applyBorder="1" applyAlignment="1">
      <alignment/>
    </xf>
    <xf numFmtId="44" fontId="0" fillId="0" borderId="1" xfId="0" applyNumberForma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7" borderId="23" xfId="0" applyFill="1" applyBorder="1" applyAlignment="1">
      <alignment/>
    </xf>
    <xf numFmtId="0" fontId="0" fillId="37" borderId="24" xfId="0" applyFill="1" applyBorder="1" applyAlignment="1">
      <alignment/>
    </xf>
    <xf numFmtId="9" fontId="0" fillId="0" borderId="1" xfId="63" applyBorder="1" applyAlignment="1">
      <alignment/>
    </xf>
    <xf numFmtId="168" fontId="0" fillId="0" borderId="1" xfId="44" applyNumberFormat="1" applyBorder="1" applyAlignment="1">
      <alignment/>
    </xf>
    <xf numFmtId="169" fontId="0" fillId="0" borderId="1" xfId="44" applyNumberFormat="1" applyBorder="1" applyAlignment="1">
      <alignment/>
    </xf>
    <xf numFmtId="8" fontId="1" fillId="0" borderId="1" xfId="0" applyNumberFormat="1" applyFont="1" applyFill="1" applyBorder="1" applyAlignment="1">
      <alignment/>
    </xf>
    <xf numFmtId="165" fontId="0" fillId="0" borderId="1" xfId="0" applyNumberFormat="1" applyBorder="1" applyAlignment="1">
      <alignment/>
    </xf>
    <xf numFmtId="0" fontId="0" fillId="0" borderId="1" xfId="0" applyNumberFormat="1" applyBorder="1" applyAlignment="1">
      <alignment/>
    </xf>
    <xf numFmtId="0" fontId="0" fillId="0" borderId="0" xfId="0" applyFont="1" applyAlignment="1">
      <alignment/>
    </xf>
    <xf numFmtId="0" fontId="0" fillId="0" borderId="0" xfId="0" applyFont="1" applyAlignment="1">
      <alignment horizontal="center"/>
    </xf>
    <xf numFmtId="165" fontId="0" fillId="0" borderId="0" xfId="46" applyNumberFormat="1" applyFont="1" applyAlignment="1" quotePrefix="1">
      <alignment/>
    </xf>
    <xf numFmtId="168" fontId="0" fillId="0" borderId="0" xfId="44" applyNumberFormat="1" applyFont="1" applyAlignment="1" quotePrefix="1">
      <alignment/>
    </xf>
    <xf numFmtId="0" fontId="0" fillId="0" borderId="0" xfId="0" applyAlignment="1" quotePrefix="1">
      <alignment/>
    </xf>
    <xf numFmtId="0" fontId="10" fillId="27" borderId="12" xfId="0" applyFont="1" applyFill="1" applyBorder="1" applyAlignment="1">
      <alignment horizontal="centerContinuous" wrapText="1"/>
    </xf>
    <xf numFmtId="0" fontId="10" fillId="27" borderId="13" xfId="0" applyFont="1" applyFill="1" applyBorder="1" applyAlignment="1">
      <alignment horizontal="centerContinuous" wrapText="1"/>
    </xf>
    <xf numFmtId="0" fontId="10" fillId="27" borderId="14" xfId="0" applyFont="1" applyFill="1" applyBorder="1" applyAlignment="1">
      <alignment horizontal="centerContinuous" wrapText="1"/>
    </xf>
    <xf numFmtId="165" fontId="0" fillId="37" borderId="1" xfId="46" applyNumberFormat="1" applyFill="1" applyBorder="1" applyAlignment="1">
      <alignment/>
    </xf>
    <xf numFmtId="0" fontId="7" fillId="27" borderId="1" xfId="0" applyFont="1" applyFill="1" applyBorder="1" applyAlignment="1">
      <alignment wrapText="1"/>
    </xf>
    <xf numFmtId="0" fontId="7" fillId="27" borderId="1" xfId="0" applyFont="1" applyFill="1" applyBorder="1" applyAlignment="1">
      <alignment/>
    </xf>
    <xf numFmtId="0" fontId="7" fillId="27" borderId="1" xfId="0" applyFont="1" applyFill="1" applyBorder="1" applyAlignment="1">
      <alignment horizontal="right"/>
    </xf>
    <xf numFmtId="165" fontId="0" fillId="0" borderId="0" xfId="0" applyNumberFormat="1" applyAlignment="1">
      <alignment/>
    </xf>
    <xf numFmtId="165" fontId="0" fillId="37" borderId="24" xfId="0" applyNumberFormat="1" applyFill="1" applyBorder="1" applyAlignment="1">
      <alignment/>
    </xf>
    <xf numFmtId="165" fontId="0" fillId="37" borderId="25" xfId="0" applyNumberFormat="1" applyFill="1" applyBorder="1" applyAlignment="1">
      <alignment/>
    </xf>
    <xf numFmtId="8" fontId="0" fillId="37" borderId="1" xfId="0" applyNumberFormat="1" applyFill="1" applyBorder="1" applyAlignment="1">
      <alignment/>
    </xf>
    <xf numFmtId="0" fontId="0" fillId="38" borderId="1" xfId="0" applyFill="1" applyBorder="1" applyAlignment="1">
      <alignment/>
    </xf>
    <xf numFmtId="0" fontId="10" fillId="27" borderId="1" xfId="0" applyFont="1" applyFill="1" applyBorder="1" applyAlignment="1">
      <alignment horizontal="centerContinuous" wrapText="1"/>
    </xf>
    <xf numFmtId="0" fontId="0" fillId="37" borderId="1" xfId="0" applyFill="1" applyBorder="1" applyAlignment="1">
      <alignment horizontal="centerContinuous" wrapText="1"/>
    </xf>
    <xf numFmtId="0" fontId="0" fillId="35" borderId="1" xfId="0" applyFill="1" applyBorder="1" applyAlignment="1">
      <alignment horizontal="centerContinuous" wrapText="1"/>
    </xf>
    <xf numFmtId="43" fontId="0" fillId="0" borderId="1" xfId="44" applyFont="1" applyBorder="1" applyAlignment="1">
      <alignment/>
    </xf>
    <xf numFmtId="9" fontId="0" fillId="0" borderId="1" xfId="0" applyNumberFormat="1" applyBorder="1" applyAlignment="1">
      <alignment/>
    </xf>
    <xf numFmtId="10" fontId="0" fillId="0" borderId="1" xfId="0" applyNumberFormat="1" applyBorder="1" applyAlignment="1">
      <alignment/>
    </xf>
    <xf numFmtId="43" fontId="0" fillId="38" borderId="1" xfId="0" applyNumberForma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 fillId="0" borderId="26" xfId="0" applyFont="1" applyBorder="1" applyAlignment="1">
      <alignment/>
    </xf>
    <xf numFmtId="0" fontId="1" fillId="0" borderId="1" xfId="0" applyFont="1" applyBorder="1" applyAlignment="1">
      <alignment/>
    </xf>
    <xf numFmtId="0" fontId="1" fillId="0" borderId="27" xfId="0" applyFont="1" applyBorder="1" applyAlignment="1">
      <alignment/>
    </xf>
    <xf numFmtId="0" fontId="0" fillId="0" borderId="26" xfId="0" applyFont="1" applyBorder="1" applyAlignment="1">
      <alignment horizontal="left"/>
    </xf>
    <xf numFmtId="0" fontId="0" fillId="0" borderId="1" xfId="0" applyFont="1" applyBorder="1" applyAlignment="1">
      <alignment horizontal="left"/>
    </xf>
    <xf numFmtId="168" fontId="0" fillId="39" borderId="1" xfId="44" applyNumberFormat="1" applyFont="1" applyFill="1" applyBorder="1" applyAlignment="1">
      <alignment/>
    </xf>
    <xf numFmtId="168" fontId="0" fillId="39" borderId="27" xfId="44" applyNumberFormat="1" applyFont="1" applyFill="1" applyBorder="1" applyAlignment="1">
      <alignment/>
    </xf>
    <xf numFmtId="165" fontId="0" fillId="39" borderId="1" xfId="46" applyNumberFormat="1" applyFont="1" applyFill="1" applyBorder="1" applyAlignment="1">
      <alignment/>
    </xf>
    <xf numFmtId="165" fontId="0" fillId="39" borderId="27" xfId="46" applyNumberFormat="1" applyFont="1" applyFill="1" applyBorder="1" applyAlignment="1">
      <alignment/>
    </xf>
    <xf numFmtId="44" fontId="0" fillId="39" borderId="1" xfId="46" applyNumberFormat="1" applyFont="1" applyFill="1" applyBorder="1" applyAlignment="1">
      <alignment/>
    </xf>
    <xf numFmtId="44" fontId="0" fillId="39" borderId="27" xfId="46" applyNumberFormat="1" applyFont="1" applyFill="1" applyBorder="1" applyAlignment="1">
      <alignment/>
    </xf>
    <xf numFmtId="0" fontId="0" fillId="0" borderId="26" xfId="0" applyFont="1" applyBorder="1" applyAlignment="1">
      <alignment/>
    </xf>
    <xf numFmtId="0" fontId="0" fillId="0" borderId="1" xfId="0" applyFont="1" applyBorder="1" applyAlignment="1">
      <alignment/>
    </xf>
    <xf numFmtId="0" fontId="0" fillId="0" borderId="1" xfId="0" applyFont="1" applyBorder="1" applyAlignment="1">
      <alignment wrapText="1"/>
    </xf>
    <xf numFmtId="0" fontId="0" fillId="0" borderId="27" xfId="0" applyFont="1" applyBorder="1" applyAlignment="1">
      <alignment/>
    </xf>
    <xf numFmtId="165" fontId="0" fillId="0" borderId="1" xfId="46" applyNumberFormat="1" applyFont="1" applyBorder="1" applyAlignment="1">
      <alignment/>
    </xf>
    <xf numFmtId="165" fontId="0" fillId="0" borderId="27" xfId="46" applyNumberFormat="1" applyFont="1" applyBorder="1" applyAlignment="1">
      <alignment/>
    </xf>
    <xf numFmtId="0" fontId="0" fillId="0" borderId="1" xfId="0" applyFont="1" applyFill="1" applyBorder="1" applyAlignment="1">
      <alignment horizontal="center"/>
    </xf>
    <xf numFmtId="0" fontId="0" fillId="0" borderId="18" xfId="0" applyFont="1" applyFill="1" applyBorder="1" applyAlignment="1">
      <alignment/>
    </xf>
    <xf numFmtId="0" fontId="0" fillId="0" borderId="19" xfId="0" applyFont="1" applyFill="1" applyBorder="1" applyAlignment="1">
      <alignment/>
    </xf>
    <xf numFmtId="0" fontId="0" fillId="0" borderId="0" xfId="0" applyFont="1" applyFill="1" applyAlignment="1">
      <alignment/>
    </xf>
    <xf numFmtId="0" fontId="0" fillId="0" borderId="26" xfId="0" applyFont="1" applyFill="1" applyBorder="1" applyAlignment="1">
      <alignment/>
    </xf>
    <xf numFmtId="44" fontId="0" fillId="0" borderId="1" xfId="46" applyFont="1" applyBorder="1" applyAlignment="1">
      <alignment/>
    </xf>
    <xf numFmtId="44" fontId="0" fillId="0" borderId="27" xfId="46" applyFont="1" applyBorder="1" applyAlignment="1">
      <alignment/>
    </xf>
    <xf numFmtId="44" fontId="0" fillId="0" borderId="0" xfId="46" applyFont="1" applyBorder="1" applyAlignment="1">
      <alignment/>
    </xf>
    <xf numFmtId="8" fontId="0" fillId="0" borderId="0" xfId="46" applyNumberFormat="1" applyFont="1" applyBorder="1" applyAlignment="1">
      <alignment/>
    </xf>
    <xf numFmtId="165" fontId="0" fillId="0" borderId="1" xfId="0" applyNumberFormat="1" applyFont="1" applyBorder="1" applyAlignment="1">
      <alignment/>
    </xf>
    <xf numFmtId="165" fontId="0" fillId="0" borderId="27" xfId="0" applyNumberFormat="1" applyFont="1" applyBorder="1" applyAlignment="1">
      <alignment/>
    </xf>
    <xf numFmtId="168" fontId="0" fillId="0" borderId="1" xfId="0" applyNumberFormat="1" applyFont="1" applyBorder="1" applyAlignment="1">
      <alignment/>
    </xf>
    <xf numFmtId="168" fontId="0" fillId="0" borderId="27" xfId="0" applyNumberFormat="1" applyFont="1" applyBorder="1" applyAlignment="1">
      <alignment/>
    </xf>
    <xf numFmtId="0" fontId="0" fillId="0" borderId="28" xfId="0" applyFont="1" applyBorder="1" applyAlignment="1">
      <alignment/>
    </xf>
    <xf numFmtId="168" fontId="0" fillId="0" borderId="29" xfId="44" applyNumberFormat="1" applyFont="1" applyBorder="1" applyAlignment="1">
      <alignment/>
    </xf>
    <xf numFmtId="168" fontId="0" fillId="0" borderId="29" xfId="0" applyNumberFormat="1" applyFont="1" applyBorder="1" applyAlignment="1">
      <alignment/>
    </xf>
    <xf numFmtId="168" fontId="0" fillId="0" borderId="30" xfId="0" applyNumberFormat="1" applyFont="1" applyBorder="1" applyAlignment="1">
      <alignment/>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40" borderId="1" xfId="0" applyFont="1" applyFill="1" applyBorder="1" applyAlignment="1">
      <alignment wrapText="1"/>
    </xf>
    <xf numFmtId="164" fontId="0" fillId="40" borderId="1" xfId="63" applyNumberFormat="1" applyFont="1" applyFill="1" applyBorder="1" applyAlignment="1">
      <alignment/>
    </xf>
    <xf numFmtId="0" fontId="0" fillId="40" borderId="1" xfId="0" applyFont="1" applyFill="1" applyBorder="1" applyAlignment="1">
      <alignment/>
    </xf>
    <xf numFmtId="165" fontId="0" fillId="40" borderId="1" xfId="46" applyNumberFormat="1" applyFont="1" applyFill="1" applyBorder="1" applyAlignment="1">
      <alignment/>
    </xf>
    <xf numFmtId="165" fontId="0" fillId="40" borderId="1" xfId="0" applyNumberFormat="1" applyFont="1" applyFill="1" applyBorder="1" applyAlignment="1">
      <alignment/>
    </xf>
    <xf numFmtId="165" fontId="1" fillId="40" borderId="1" xfId="0" applyNumberFormat="1" applyFont="1" applyFill="1" applyBorder="1" applyAlignment="1">
      <alignment/>
    </xf>
    <xf numFmtId="0" fontId="0" fillId="37" borderId="0" xfId="0" applyFont="1" applyFill="1" applyBorder="1" applyAlignment="1">
      <alignment/>
    </xf>
    <xf numFmtId="0" fontId="0" fillId="35" borderId="1" xfId="0" applyFont="1" applyFill="1" applyBorder="1" applyAlignment="1">
      <alignment horizontal="centerContinuous" wrapText="1"/>
    </xf>
    <xf numFmtId="0" fontId="0" fillId="37" borderId="31" xfId="0" applyFont="1" applyFill="1" applyBorder="1" applyAlignment="1">
      <alignment/>
    </xf>
    <xf numFmtId="0" fontId="0" fillId="0" borderId="0" xfId="0" applyBorder="1" applyAlignment="1">
      <alignment/>
    </xf>
    <xf numFmtId="0" fontId="1" fillId="37" borderId="1" xfId="0" applyFont="1" applyFill="1" applyBorder="1" applyAlignment="1">
      <alignment horizontal="center"/>
    </xf>
    <xf numFmtId="10" fontId="1" fillId="0" borderId="1" xfId="63" applyNumberFormat="1" applyFont="1" applyBorder="1" applyAlignment="1">
      <alignment horizontal="center"/>
    </xf>
    <xf numFmtId="0" fontId="1" fillId="0" borderId="0" xfId="0" applyFont="1" applyAlignment="1">
      <alignment/>
    </xf>
    <xf numFmtId="0" fontId="14" fillId="27" borderId="32" xfId="0" applyFont="1" applyFill="1" applyBorder="1" applyAlignment="1">
      <alignment horizontal="centerContinuous" wrapText="1"/>
    </xf>
    <xf numFmtId="0" fontId="14" fillId="27" borderId="33" xfId="0" applyFont="1" applyFill="1" applyBorder="1" applyAlignment="1">
      <alignment horizontal="centerContinuous" wrapText="1"/>
    </xf>
    <xf numFmtId="0" fontId="14" fillId="27" borderId="34" xfId="0" applyFont="1" applyFill="1" applyBorder="1" applyAlignment="1">
      <alignment horizontal="centerContinuous" wrapText="1"/>
    </xf>
    <xf numFmtId="0" fontId="0" fillId="0" borderId="35" xfId="0" applyBorder="1" applyAlignment="1">
      <alignment wrapText="1"/>
    </xf>
    <xf numFmtId="0" fontId="1" fillId="0" borderId="0" xfId="0" applyFont="1" applyBorder="1" applyAlignment="1">
      <alignment wrapText="1"/>
    </xf>
    <xf numFmtId="0" fontId="1" fillId="0" borderId="1" xfId="0" applyFont="1" applyFill="1" applyBorder="1" applyAlignment="1">
      <alignment wrapText="1"/>
    </xf>
    <xf numFmtId="168" fontId="1" fillId="0" borderId="1" xfId="44" applyNumberFormat="1" applyFont="1" applyFill="1" applyBorder="1" applyAlignment="1">
      <alignment/>
    </xf>
    <xf numFmtId="0" fontId="1" fillId="0" borderId="1" xfId="0" applyFont="1" applyFill="1" applyBorder="1" applyAlignment="1">
      <alignment/>
    </xf>
    <xf numFmtId="9" fontId="1" fillId="0" borderId="1" xfId="0" applyNumberFormat="1" applyFont="1" applyFill="1" applyBorder="1" applyAlignment="1">
      <alignment/>
    </xf>
    <xf numFmtId="10" fontId="1" fillId="0" borderId="1" xfId="63" applyNumberFormat="1" applyFont="1" applyFill="1" applyBorder="1" applyAlignment="1">
      <alignment/>
    </xf>
    <xf numFmtId="44" fontId="1" fillId="0" borderId="1" xfId="46" applyFont="1" applyBorder="1" applyAlignment="1">
      <alignment/>
    </xf>
    <xf numFmtId="44" fontId="1" fillId="0" borderId="1" xfId="46" applyFont="1" applyFill="1" applyBorder="1" applyAlignment="1">
      <alignment/>
    </xf>
    <xf numFmtId="8" fontId="0" fillId="0" borderId="0" xfId="0" applyNumberFormat="1" applyAlignment="1">
      <alignment/>
    </xf>
    <xf numFmtId="43" fontId="0" fillId="0" borderId="0" xfId="0" applyNumberFormat="1" applyAlignment="1">
      <alignment/>
    </xf>
    <xf numFmtId="0" fontId="1" fillId="0" borderId="0" xfId="0" applyFont="1" applyFill="1" applyBorder="1" applyAlignment="1">
      <alignment/>
    </xf>
    <xf numFmtId="9" fontId="1" fillId="0" borderId="0" xfId="0" applyNumberFormat="1" applyFont="1" applyFill="1" applyBorder="1" applyAlignment="1">
      <alignment/>
    </xf>
    <xf numFmtId="10" fontId="1" fillId="0" borderId="0" xfId="63" applyNumberFormat="1" applyFont="1" applyFill="1" applyBorder="1" applyAlignment="1">
      <alignment/>
    </xf>
    <xf numFmtId="44" fontId="1" fillId="0" borderId="0" xfId="46" applyFont="1" applyBorder="1" applyAlignment="1">
      <alignment/>
    </xf>
    <xf numFmtId="10" fontId="1" fillId="0" borderId="0" xfId="63" applyNumberFormat="1" applyFont="1" applyBorder="1" applyAlignment="1">
      <alignment horizontal="center"/>
    </xf>
    <xf numFmtId="10" fontId="0" fillId="0" borderId="12" xfId="0" applyNumberFormat="1" applyFill="1" applyBorder="1" applyAlignment="1">
      <alignment/>
    </xf>
    <xf numFmtId="43" fontId="0" fillId="0" borderId="12" xfId="0" applyNumberFormat="1" applyFill="1" applyBorder="1" applyAlignment="1">
      <alignment/>
    </xf>
    <xf numFmtId="0" fontId="0" fillId="0" borderId="12" xfId="0" applyFill="1" applyBorder="1" applyAlignment="1">
      <alignment/>
    </xf>
    <xf numFmtId="0" fontId="0" fillId="37" borderId="1" xfId="0" applyFill="1" applyBorder="1" applyAlignment="1">
      <alignment wrapText="1"/>
    </xf>
    <xf numFmtId="168" fontId="0" fillId="0" borderId="1" xfId="0" applyNumberFormat="1" applyBorder="1" applyAlignment="1">
      <alignment/>
    </xf>
    <xf numFmtId="195" fontId="0" fillId="0" borderId="1" xfId="0" applyNumberFormat="1" applyBorder="1" applyAlignment="1">
      <alignment/>
    </xf>
    <xf numFmtId="4" fontId="0" fillId="0" borderId="1" xfId="0" applyNumberFormat="1" applyBorder="1" applyAlignment="1">
      <alignment/>
    </xf>
    <xf numFmtId="196" fontId="0" fillId="37" borderId="1" xfId="0" applyNumberFormat="1" applyFill="1" applyBorder="1" applyAlignment="1">
      <alignment/>
    </xf>
    <xf numFmtId="0" fontId="18" fillId="27" borderId="1" xfId="0" applyFont="1" applyFill="1" applyBorder="1" applyAlignment="1">
      <alignment horizontal="center" wrapText="1"/>
    </xf>
    <xf numFmtId="0" fontId="18" fillId="27" borderId="1" xfId="0" applyFont="1" applyFill="1" applyBorder="1" applyAlignment="1">
      <alignment horizontal="centerContinuous" wrapText="1"/>
    </xf>
    <xf numFmtId="0" fontId="0" fillId="0" borderId="18" xfId="0" applyBorder="1" applyAlignment="1">
      <alignment/>
    </xf>
    <xf numFmtId="165" fontId="0" fillId="0" borderId="19" xfId="46" applyNumberFormat="1" applyBorder="1" applyAlignment="1">
      <alignment/>
    </xf>
    <xf numFmtId="0" fontId="0" fillId="0" borderId="19" xfId="0" applyBorder="1" applyAlignment="1">
      <alignment/>
    </xf>
    <xf numFmtId="0" fontId="18" fillId="27" borderId="1" xfId="0" applyFont="1" applyFill="1" applyBorder="1" applyAlignment="1">
      <alignment/>
    </xf>
    <xf numFmtId="8" fontId="18" fillId="27" borderId="1" xfId="0" applyNumberFormat="1" applyFont="1" applyFill="1" applyBorder="1" applyAlignment="1">
      <alignment/>
    </xf>
    <xf numFmtId="0" fontId="18" fillId="27" borderId="1" xfId="0" applyFont="1" applyFill="1" applyBorder="1" applyAlignment="1">
      <alignment horizontal="center"/>
    </xf>
    <xf numFmtId="0" fontId="0" fillId="0" borderId="36" xfId="0" applyBorder="1" applyAlignment="1">
      <alignment/>
    </xf>
    <xf numFmtId="8" fontId="0" fillId="0" borderId="36" xfId="0" applyNumberFormat="1" applyBorder="1" applyAlignment="1">
      <alignment/>
    </xf>
    <xf numFmtId="8" fontId="1" fillId="0" borderId="1" xfId="46" applyNumberFormat="1" applyFont="1" applyBorder="1" applyAlignment="1">
      <alignment/>
    </xf>
    <xf numFmtId="0" fontId="8" fillId="37" borderId="0" xfId="0" applyFont="1" applyFill="1" applyAlignment="1">
      <alignment horizontal="center"/>
    </xf>
    <xf numFmtId="0" fontId="9" fillId="0" borderId="0" xfId="0" applyFont="1" applyAlignment="1">
      <alignment horizontal="center"/>
    </xf>
    <xf numFmtId="0" fontId="0" fillId="37" borderId="0" xfId="0" applyFont="1" applyFill="1" applyBorder="1" applyAlignment="1">
      <alignment horizontal="center"/>
    </xf>
  </cellXfs>
  <cellStyles count="61">
    <cellStyle name="Normal" xfId="0"/>
    <cellStyle name="RowLevel_0" xfId="1"/>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xfId="40"/>
    <cellStyle name="bluecenteraccrossselection" xfId="41"/>
    <cellStyle name="Calculation" xfId="42"/>
    <cellStyle name="Check Cell" xfId="43"/>
    <cellStyle name="Comma" xfId="44"/>
    <cellStyle name="Comma [0]" xfId="45"/>
    <cellStyle name="Currency" xfId="46"/>
    <cellStyle name="Currency [0]" xfId="47"/>
    <cellStyle name="Currency Round to thousands" xfId="48"/>
    <cellStyle name="Explanatory Text" xfId="49"/>
    <cellStyle name="Followed Hyperlink" xfId="50"/>
    <cellStyle name="Four-Digit Year"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Rad" xfId="64"/>
    <cellStyle name="redcenteraccrossselection" xfId="65"/>
    <cellStyle name="Title" xfId="66"/>
    <cellStyle name="Total" xfId="67"/>
    <cellStyle name="Warning Text" xfId="68"/>
    <cellStyle name="Wrap Text" xfId="69"/>
    <cellStyle name="Yellow" xfId="70"/>
    <cellStyle name="yellowcenteraccrossselection" xfId="71"/>
  </cellStyles>
  <dxfs count="1">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NPV vs. Hurdle Rate</a:t>
            </a:r>
          </a:p>
        </c:rich>
      </c:tx>
      <c:layout/>
      <c:spPr>
        <a:noFill/>
        <a:ln>
          <a:noFill/>
        </a:ln>
      </c:spPr>
    </c:title>
    <c:plotArea>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Lit>
              <c:ptCount val="10"/>
              <c:pt idx="0">
                <c:v>0.20999999999999996</c:v>
              </c:pt>
              <c:pt idx="1">
                <c:v>0.21999999999999997</c:v>
              </c:pt>
              <c:pt idx="2">
                <c:v>0.22999999999999998</c:v>
              </c:pt>
              <c:pt idx="3">
                <c:v>0.24</c:v>
              </c:pt>
              <c:pt idx="4">
                <c:v>0.25</c:v>
              </c:pt>
              <c:pt idx="5">
                <c:v>0.26</c:v>
              </c:pt>
              <c:pt idx="6">
                <c:v>0.27</c:v>
              </c:pt>
              <c:pt idx="7">
                <c:v>0.28</c:v>
              </c:pt>
              <c:pt idx="8">
                <c:v>0.29000000000000004</c:v>
              </c:pt>
              <c:pt idx="9">
                <c:v>0.5232685991262378</c:v>
              </c:pt>
            </c:numLit>
          </c:xVal>
          <c:yVal>
            <c:numLit>
              <c:ptCount val="10"/>
              <c:pt idx="0">
                <c:v>1281598.8501865831</c:v>
              </c:pt>
              <c:pt idx="1">
                <c:v>1213171.1110958788</c:v>
              </c:pt>
              <c:pt idx="2">
                <c:v>1147479.5012829127</c:v>
              </c:pt>
              <c:pt idx="3">
                <c:v>1084389.8511250613</c:v>
              </c:pt>
              <c:pt idx="4">
                <c:v>1023775.7076193155</c:v>
              </c:pt>
              <c:pt idx="5">
                <c:v>965517.8281772896</c:v>
              </c:pt>
              <c:pt idx="6">
                <c:v>909503.7115711784</c:v>
              </c:pt>
              <c:pt idx="7">
                <c:v>855627.163023348</c:v>
              </c:pt>
              <c:pt idx="8">
                <c:v>803787.8906978569</c:v>
              </c:pt>
              <c:pt idx="9">
                <c:v>0</c:v>
              </c:pt>
            </c:numLit>
          </c:yVal>
          <c:smooth val="0"/>
        </c:ser>
        <c:axId val="28027063"/>
        <c:axId val="50916976"/>
      </c:scatterChart>
      <c:valAx>
        <c:axId val="28027063"/>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Hurdle Rate Percentage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0916976"/>
        <c:crosses val="autoZero"/>
        <c:crossBetween val="midCat"/>
        <c:dispUnits/>
      </c:valAx>
      <c:valAx>
        <c:axId val="5091697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NPV</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2706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28</xdr:row>
      <xdr:rowOff>0</xdr:rowOff>
    </xdr:from>
    <xdr:to>
      <xdr:col>6</xdr:col>
      <xdr:colOff>857250</xdr:colOff>
      <xdr:row>28</xdr:row>
      <xdr:rowOff>0</xdr:rowOff>
    </xdr:to>
    <xdr:graphicFrame>
      <xdr:nvGraphicFramePr>
        <xdr:cNvPr id="1" name="Chart 1"/>
        <xdr:cNvGraphicFramePr/>
      </xdr:nvGraphicFramePr>
      <xdr:xfrm>
        <a:off x="4733925" y="4514850"/>
        <a:ext cx="33147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bby\My%20Documents\Office_Cases\FilestoBriana\chapter6\Chapter6_Workshee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apter06Lecture%20No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6.9"/>
      <sheetName val="figure6.12"/>
      <sheetName val="figure 6.13"/>
      <sheetName val="figure 6.15"/>
      <sheetName val="loan"/>
      <sheetName val="depreciation"/>
      <sheetName val="figure 6.24"/>
      <sheetName val="figure 6.27"/>
      <sheetName val="figure 6.35"/>
      <sheetName val="figure6.36"/>
      <sheetName val="highcaptial"/>
      <sheetName val="lowcapital"/>
    </sheetNames>
    <sheetDataSet>
      <sheetData sheetId="3">
        <row r="2">
          <cell r="B2">
            <v>1000000</v>
          </cell>
        </row>
        <row r="3">
          <cell r="B3">
            <v>0.08</v>
          </cell>
        </row>
        <row r="4">
          <cell r="B4">
            <v>5</v>
          </cell>
        </row>
        <row r="5">
          <cell r="B5">
            <v>4</v>
          </cell>
        </row>
        <row r="6">
          <cell r="B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umptions"/>
      <sheetName val="Financial Functions"/>
      <sheetName val="Interest and FV"/>
      <sheetName val="Retirement"/>
      <sheetName val="PMT"/>
      <sheetName val="Depr."/>
      <sheetName val="Loan Analysis"/>
      <sheetName val="Time Value of Money"/>
      <sheetName val="PV"/>
      <sheetName val="Amortization Table"/>
      <sheetName val="Mortgage Calc (1)"/>
      <sheetName val="Tax"/>
      <sheetName val="Sheet5"/>
      <sheetName val="Sheet4"/>
      <sheetName val="Sheet1"/>
      <sheetName val="Sheet2"/>
      <sheetName val="Sheet3"/>
      <sheetName val="Interest and FV (an)"/>
      <sheetName val="Time Value of Money (an)"/>
      <sheetName val="Retirement (an)"/>
      <sheetName val="PMT (an)"/>
      <sheetName val="PV (an)"/>
      <sheetName val="Amortization Table (an)"/>
      <sheetName val="Tax (an)"/>
      <sheetName val="Depr. (an)"/>
      <sheetName val="Loan Analysis (an)"/>
    </sheetNames>
    <sheetDataSet>
      <sheetData sheetId="0">
        <row r="1">
          <cell r="A1">
            <v>1</v>
          </cell>
          <cell r="B1" t="str">
            <v>Home Depot</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cell r="D13">
            <v>1</v>
          </cell>
          <cell r="E13" t="str">
            <v>Rhonda</v>
          </cell>
        </row>
        <row r="14">
          <cell r="A14">
            <v>14</v>
          </cell>
          <cell r="D14">
            <v>2</v>
          </cell>
        </row>
        <row r="15">
          <cell r="D15">
            <v>3</v>
          </cell>
        </row>
        <row r="16">
          <cell r="D16">
            <v>4</v>
          </cell>
        </row>
        <row r="17">
          <cell r="D17">
            <v>5</v>
          </cell>
        </row>
        <row r="18">
          <cell r="D18">
            <v>6</v>
          </cell>
        </row>
        <row r="19">
          <cell r="D19">
            <v>7</v>
          </cell>
        </row>
        <row r="20">
          <cell r="D20">
            <v>8</v>
          </cell>
        </row>
        <row r="22">
          <cell r="G22">
            <v>1</v>
          </cell>
          <cell r="H22" t="str">
            <v>NorthEast</v>
          </cell>
        </row>
        <row r="23">
          <cell r="G23">
            <v>2</v>
          </cell>
        </row>
        <row r="24">
          <cell r="G24">
            <v>3</v>
          </cell>
        </row>
        <row r="25">
          <cell r="G25">
            <v>4</v>
          </cell>
        </row>
        <row r="26">
          <cell r="G26">
            <v>5</v>
          </cell>
        </row>
        <row r="27">
          <cell r="G27">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M8"/>
  <sheetViews>
    <sheetView tabSelected="1" zoomScale="85" zoomScaleNormal="85" zoomScalePageLayoutView="0" workbookViewId="0" topLeftCell="A1">
      <selection activeCell="I3" sqref="I3"/>
    </sheetView>
  </sheetViews>
  <sheetFormatPr defaultColWidth="9.140625" defaultRowHeight="12.75"/>
  <cols>
    <col min="1" max="1" width="2.140625" style="0" bestFit="1" customWidth="1"/>
    <col min="2" max="2" width="33.140625" style="4" bestFit="1" customWidth="1"/>
    <col min="3" max="3" width="8.7109375" style="0" bestFit="1" customWidth="1"/>
    <col min="4" max="4" width="8.28125" style="0" customWidth="1"/>
    <col min="5" max="5" width="8.7109375" style="0" bestFit="1" customWidth="1"/>
    <col min="6" max="6" width="11.8515625" style="0" bestFit="1" customWidth="1"/>
    <col min="7" max="7" width="12.8515625" style="0" bestFit="1" customWidth="1"/>
    <col min="8" max="8" width="14.00390625" style="0" bestFit="1" customWidth="1"/>
    <col min="9" max="9" width="14.00390625" style="0" customWidth="1"/>
    <col min="10" max="10" width="13.421875" style="0" bestFit="1" customWidth="1"/>
    <col min="11" max="11" width="13.421875" style="4" bestFit="1" customWidth="1"/>
    <col min="12" max="12" width="29.57421875" style="0" bestFit="1" customWidth="1"/>
  </cols>
  <sheetData>
    <row r="1" spans="2:9" ht="15">
      <c r="B1" s="2" t="s">
        <v>0</v>
      </c>
      <c r="C1" s="2"/>
      <c r="D1" s="2"/>
      <c r="E1" s="2"/>
      <c r="F1" s="2"/>
      <c r="G1" s="2"/>
      <c r="H1" s="2"/>
      <c r="I1" s="20"/>
    </row>
    <row r="2" spans="2:11" s="1" customFormat="1" ht="38.25">
      <c r="B2" s="5" t="s">
        <v>1</v>
      </c>
      <c r="C2" s="5" t="s">
        <v>2</v>
      </c>
      <c r="D2" s="5" t="s">
        <v>3</v>
      </c>
      <c r="E2" s="5" t="s">
        <v>4</v>
      </c>
      <c r="F2" s="5" t="s">
        <v>5</v>
      </c>
      <c r="G2" s="5" t="s">
        <v>6</v>
      </c>
      <c r="H2" s="5" t="s">
        <v>7</v>
      </c>
      <c r="I2" s="5" t="s">
        <v>21</v>
      </c>
      <c r="J2" s="5" t="s">
        <v>22</v>
      </c>
      <c r="K2" s="5" t="s">
        <v>12</v>
      </c>
    </row>
    <row r="3" spans="1:12" ht="12.75">
      <c r="A3">
        <f>ROW(A1)</f>
        <v>1</v>
      </c>
      <c r="B3" s="3" t="s">
        <v>9</v>
      </c>
      <c r="C3" s="10">
        <v>4</v>
      </c>
      <c r="D3" s="11">
        <v>0.08</v>
      </c>
      <c r="E3" s="12">
        <v>5</v>
      </c>
      <c r="F3" s="19">
        <f>PMT(D3/C3,C3*E3,G3)</f>
        <v>-61156.71812529039</v>
      </c>
      <c r="G3" s="13">
        <v>1000000</v>
      </c>
      <c r="H3" s="13">
        <v>0</v>
      </c>
      <c r="I3" s="13">
        <f>C3*F3</f>
        <v>-244626.87250116156</v>
      </c>
      <c r="J3" s="17">
        <f>G3</f>
        <v>1000000</v>
      </c>
      <c r="K3" s="3" t="s">
        <v>13</v>
      </c>
      <c r="L3" t="s">
        <v>20</v>
      </c>
    </row>
    <row r="4" spans="1:12" ht="25.5">
      <c r="A4">
        <f>ROW(A2)</f>
        <v>2</v>
      </c>
      <c r="B4" s="3" t="s">
        <v>8</v>
      </c>
      <c r="C4" s="10">
        <v>12</v>
      </c>
      <c r="D4" s="14">
        <v>0.035</v>
      </c>
      <c r="E4" s="10">
        <v>2</v>
      </c>
      <c r="F4" s="15"/>
      <c r="G4" s="15">
        <v>-900000</v>
      </c>
      <c r="H4" s="9">
        <f>FV(D4/C4,E4*C4,,-G4)</f>
        <v>-965159.0226304216</v>
      </c>
      <c r="I4" s="16"/>
      <c r="J4" s="18">
        <f>-H4</f>
        <v>965159.0226304216</v>
      </c>
      <c r="K4" s="3" t="s">
        <v>14</v>
      </c>
      <c r="L4" t="s">
        <v>19</v>
      </c>
    </row>
    <row r="5" spans="1:12" ht="51">
      <c r="A5">
        <f>ROW(A3)</f>
        <v>3</v>
      </c>
      <c r="B5" s="3" t="str">
        <f>"Initial Investment and current profits and delay of "&amp;E5&amp;" years (current profits invested in money market)"</f>
        <v>Initial Investment and current profits and delay of 1.5 years (current profits invested in money market)</v>
      </c>
      <c r="C5" s="10">
        <v>12</v>
      </c>
      <c r="D5" s="14">
        <v>0.04</v>
      </c>
      <c r="E5" s="10">
        <v>1.5</v>
      </c>
      <c r="F5" s="15">
        <v>-50000</v>
      </c>
      <c r="G5" s="8">
        <v>-69736.0954645628</v>
      </c>
      <c r="H5" s="16">
        <f>FV(D5/C5,E5*C5,F5,G5)</f>
        <v>1000000</v>
      </c>
      <c r="I5" s="16"/>
      <c r="J5" s="18">
        <f>H5</f>
        <v>1000000</v>
      </c>
      <c r="K5" s="3" t="s">
        <v>15</v>
      </c>
      <c r="L5" t="s">
        <v>19</v>
      </c>
    </row>
    <row r="6" spans="1:11" ht="51">
      <c r="A6">
        <f>A5</f>
        <v>3</v>
      </c>
      <c r="B6" s="3" t="str">
        <f>"Initial Investment and current profits and delay of "&amp;E6&amp;" years (current profits invested in money market)"</f>
        <v>Initial Investment and current profits and delay of 1.5 years (current profits invested in money market)</v>
      </c>
      <c r="C6" s="10">
        <v>12</v>
      </c>
      <c r="D6" s="14">
        <v>0.04</v>
      </c>
      <c r="E6" s="10">
        <v>1.5</v>
      </c>
      <c r="F6" s="15">
        <v>50000</v>
      </c>
      <c r="G6" s="9">
        <f>PV(D6/C6,E6*C6,-F6,H6)</f>
        <v>-69736.0954645628</v>
      </c>
      <c r="H6" s="15">
        <f>G3</f>
        <v>1000000</v>
      </c>
      <c r="I6" s="15"/>
      <c r="J6" s="17">
        <f>H6</f>
        <v>1000000</v>
      </c>
      <c r="K6" s="3" t="s">
        <v>15</v>
      </c>
    </row>
    <row r="7" spans="1:13" ht="12.75">
      <c r="A7">
        <f>ROW(A4)</f>
        <v>4</v>
      </c>
      <c r="B7" s="3" t="s">
        <v>10</v>
      </c>
      <c r="C7" s="10">
        <v>2</v>
      </c>
      <c r="D7" s="7">
        <f>RATE(C7*E7,F7,G7)*C7</f>
        <v>0.08478928642415512</v>
      </c>
      <c r="E7" s="10">
        <v>4</v>
      </c>
      <c r="F7" s="15">
        <v>-150000</v>
      </c>
      <c r="G7" s="8">
        <f>G3</f>
        <v>1000000</v>
      </c>
      <c r="H7" s="15"/>
      <c r="I7" s="15">
        <f>C7*F7</f>
        <v>-300000</v>
      </c>
      <c r="J7" s="17">
        <f>G7</f>
        <v>1000000</v>
      </c>
      <c r="K7" s="3" t="s">
        <v>13</v>
      </c>
      <c r="L7" t="s">
        <v>20</v>
      </c>
      <c r="M7" t="s">
        <v>17</v>
      </c>
    </row>
    <row r="8" spans="1:13" ht="51">
      <c r="A8">
        <f>ROW(A5)</f>
        <v>5</v>
      </c>
      <c r="B8" s="3" t="s">
        <v>11</v>
      </c>
      <c r="C8" s="10">
        <v>4</v>
      </c>
      <c r="D8" s="14">
        <v>0.065</v>
      </c>
      <c r="E8" s="6">
        <f>NPER(D8/C8,F8,G8)/4</f>
        <v>2.9095193490160596</v>
      </c>
      <c r="F8" s="15">
        <v>-95000</v>
      </c>
      <c r="G8" s="15">
        <f>G3</f>
        <v>1000000</v>
      </c>
      <c r="H8" s="15"/>
      <c r="I8" s="15">
        <f>C8*F8</f>
        <v>-380000</v>
      </c>
      <c r="J8" s="17">
        <f>G8</f>
        <v>1000000</v>
      </c>
      <c r="K8" s="3" t="s">
        <v>16</v>
      </c>
      <c r="L8" t="s">
        <v>20</v>
      </c>
      <c r="M8" t="s">
        <v>18</v>
      </c>
    </row>
    <row r="9" ht="12.75"/>
    <row r="10" ht="12.75"/>
    <row r="11" ht="12.75"/>
    <row r="12" ht="12.75"/>
    <row r="13" ht="12.75"/>
    <row r="14" ht="12.75"/>
    <row r="15" ht="12.75"/>
    <row r="16" ht="12.75"/>
    <row r="17" ht="12.75"/>
    <row r="18" ht="12.75"/>
    <row r="19" ht="12.75"/>
    <row r="20" ht="12.75"/>
    <row r="21" ht="12.75"/>
    <row r="22" ht="12.75"/>
  </sheetData>
  <sheetProtection/>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E32"/>
  <sheetViews>
    <sheetView zoomScalePageLayoutView="0" workbookViewId="0" topLeftCell="A1">
      <selection activeCell="B4" sqref="B4"/>
    </sheetView>
  </sheetViews>
  <sheetFormatPr defaultColWidth="9.140625" defaultRowHeight="12.75"/>
  <cols>
    <col min="1" max="5" width="16.00390625" style="0" customWidth="1"/>
  </cols>
  <sheetData>
    <row r="1" spans="3:5" ht="12.75">
      <c r="C1" s="163">
        <v>0.15</v>
      </c>
      <c r="D1" s="163">
        <v>0.28</v>
      </c>
      <c r="E1" s="163">
        <v>0.32</v>
      </c>
    </row>
    <row r="2" spans="1:5" ht="38.25">
      <c r="A2" s="164" t="s">
        <v>82</v>
      </c>
      <c r="B2" s="164" t="s">
        <v>164</v>
      </c>
      <c r="C2" s="164" t="s">
        <v>165</v>
      </c>
      <c r="D2" s="164" t="s">
        <v>165</v>
      </c>
      <c r="E2" s="164" t="s">
        <v>165</v>
      </c>
    </row>
    <row r="3" spans="1:5" ht="12.75">
      <c r="A3" s="21">
        <f aca="true" t="shared" si="0" ref="A3:A32">ROW()-2</f>
        <v>1</v>
      </c>
      <c r="B3" s="21">
        <f>IF(A3&gt;'P417-419'!D$3,0,CUMIPMT('P417-419'!D$2,'P417-419'!D$4,'P417-419'!B$4,A3*'P417-419'!D$5-('P417-419'!D$5-1),A3*'P417-419'!D$5,0))</f>
        <v>-9570.108470405248</v>
      </c>
      <c r="C3" s="21">
        <f aca="true" t="shared" si="1" ref="C3:E32">$B3*C$1</f>
        <v>-1435.5162705607872</v>
      </c>
      <c r="D3" s="21">
        <f t="shared" si="1"/>
        <v>-2679.6303717134697</v>
      </c>
      <c r="E3" s="21">
        <f t="shared" si="1"/>
        <v>-3062.4347105296797</v>
      </c>
    </row>
    <row r="4" spans="1:5" ht="12.75">
      <c r="A4" s="21">
        <f t="shared" si="0"/>
        <v>2</v>
      </c>
      <c r="B4" s="21">
        <f>IF(A4&gt;'P417-419'!D$3,0,CUMIPMT('P417-419'!D$2,'P417-419'!D$4,'P417-419'!B$4,A4*'P417-419'!D$5-('P417-419'!D$5-1),A4*'P417-419'!D$5,0))</f>
        <v>-9160.922234687136</v>
      </c>
      <c r="C4" s="21">
        <f t="shared" si="1"/>
        <v>-1374.1383352030703</v>
      </c>
      <c r="D4" s="21">
        <f t="shared" si="1"/>
        <v>-2565.0582257123983</v>
      </c>
      <c r="E4" s="21">
        <f t="shared" si="1"/>
        <v>-2931.4951150998836</v>
      </c>
    </row>
    <row r="5" spans="1:5" ht="12.75">
      <c r="A5" s="21">
        <f t="shared" si="0"/>
        <v>3</v>
      </c>
      <c r="B5" s="21">
        <f>IF(A5&gt;'P417-419'!D$3,0,CUMIPMT('P417-419'!D$2,'P417-419'!D$4,'P417-419'!B$4,A5*'P417-419'!D$5-('P417-419'!D$5-1),A5*'P417-419'!D$5,0))</f>
        <v>-8724.332038949038</v>
      </c>
      <c r="C5" s="21">
        <f t="shared" si="1"/>
        <v>-1308.6498058423556</v>
      </c>
      <c r="D5" s="21">
        <f t="shared" si="1"/>
        <v>-2442.8129709057307</v>
      </c>
      <c r="E5" s="21">
        <f t="shared" si="1"/>
        <v>-2791.786252463692</v>
      </c>
    </row>
    <row r="6" spans="1:5" ht="12.75">
      <c r="A6" s="21">
        <f t="shared" si="0"/>
        <v>4</v>
      </c>
      <c r="B6" s="21">
        <f>IF(A6&gt;'P417-419'!D$3,0,CUMIPMT('P417-419'!D$2,'P417-419'!D$4,'P417-419'!B$4,A6*'P417-419'!D$5-('P417-419'!D$5-1),A6*'P417-419'!D$5,0))</f>
        <v>-8258.502589236206</v>
      </c>
      <c r="C6" s="21">
        <f t="shared" si="1"/>
        <v>-1238.775388385431</v>
      </c>
      <c r="D6" s="21">
        <f t="shared" si="1"/>
        <v>-2312.380724986138</v>
      </c>
      <c r="E6" s="21">
        <f t="shared" si="1"/>
        <v>-2642.720828555586</v>
      </c>
    </row>
    <row r="7" spans="1:5" ht="12.75">
      <c r="A7" s="21">
        <f t="shared" si="0"/>
        <v>5</v>
      </c>
      <c r="B7" s="21">
        <f>IF(A7&gt;'P417-419'!D$3,0,CUMIPMT('P417-419'!D$2,'P417-419'!D$4,'P417-419'!B$4,A7*'P417-419'!D$5-('P417-419'!D$5-1),A7*'P417-419'!D$5,0))</f>
        <v>-7761.475678558775</v>
      </c>
      <c r="C7" s="21">
        <f t="shared" si="1"/>
        <v>-1164.2213517838163</v>
      </c>
      <c r="D7" s="21">
        <f t="shared" si="1"/>
        <v>-2173.2131899964575</v>
      </c>
      <c r="E7" s="21">
        <f t="shared" si="1"/>
        <v>-2483.6722171388083</v>
      </c>
    </row>
    <row r="8" spans="1:5" ht="12.75">
      <c r="A8" s="21">
        <f t="shared" si="0"/>
        <v>6</v>
      </c>
      <c r="B8" s="21">
        <f>IF(A8&gt;'P417-419'!D$3,0,CUMIPMT('P417-419'!D$2,'P417-419'!D$4,'P417-419'!B$4,A8*'P417-419'!D$5-('P417-419'!D$5-1),A8*'P417-419'!D$5,0))</f>
        <v>-7231.161955178175</v>
      </c>
      <c r="C8" s="21">
        <f t="shared" si="1"/>
        <v>-1084.6742932767263</v>
      </c>
      <c r="D8" s="21">
        <f t="shared" si="1"/>
        <v>-2024.7253474498891</v>
      </c>
      <c r="E8" s="21">
        <f t="shared" si="1"/>
        <v>-2313.971825657016</v>
      </c>
    </row>
    <row r="9" spans="1:5" ht="12.75">
      <c r="A9" s="21">
        <f t="shared" si="0"/>
        <v>7</v>
      </c>
      <c r="B9" s="21">
        <f>IF(A9&gt;'P417-419'!D$3,0,CUMIPMT('P417-419'!D$2,'P417-419'!D$4,'P417-419'!B$4,A9*'P417-419'!D$5-('P417-419'!D$5-1),A9*'P417-419'!D$5,0))</f>
        <v>-6665.332139600414</v>
      </c>
      <c r="C9" s="21">
        <f t="shared" si="1"/>
        <v>-999.7998209400621</v>
      </c>
      <c r="D9" s="21">
        <f t="shared" si="1"/>
        <v>-1866.2929990881162</v>
      </c>
      <c r="E9" s="21">
        <f t="shared" si="1"/>
        <v>-2132.9062846721326</v>
      </c>
    </row>
    <row r="10" spans="1:5" ht="12.75">
      <c r="A10" s="21">
        <f t="shared" si="0"/>
        <v>8</v>
      </c>
      <c r="B10" s="21">
        <f>IF(A10&gt;'P417-419'!D$3,0,CUMIPMT('P417-419'!D$2,'P417-419'!D$4,'P417-419'!B$4,A10*'P417-419'!D$5-('P417-419'!D$5-1),A10*'P417-419'!D$5,0))</f>
        <v>-6061.6076533551495</v>
      </c>
      <c r="C10" s="21">
        <f t="shared" si="1"/>
        <v>-909.2411480032724</v>
      </c>
      <c r="D10" s="21">
        <f t="shared" si="1"/>
        <v>-1697.250142939442</v>
      </c>
      <c r="E10" s="21">
        <f t="shared" si="1"/>
        <v>-1939.714449073648</v>
      </c>
    </row>
    <row r="11" spans="1:5" ht="12.75">
      <c r="A11" s="21">
        <f t="shared" si="0"/>
        <v>9</v>
      </c>
      <c r="B11" s="21">
        <f>IF(A11&gt;'P417-419'!D$3,0,CUMIPMT('P417-419'!D$2,'P417-419'!D$4,'P417-419'!B$4,A11*'P417-419'!D$5-('P417-419'!D$5-1),A11*'P417-419'!D$5,0))</f>
        <v>-5417.450620166758</v>
      </c>
      <c r="C11" s="21">
        <f t="shared" si="1"/>
        <v>-812.6175930250137</v>
      </c>
      <c r="D11" s="21">
        <f t="shared" si="1"/>
        <v>-1516.8861736466924</v>
      </c>
      <c r="E11" s="21">
        <f t="shared" si="1"/>
        <v>-1733.5841984533627</v>
      </c>
    </row>
    <row r="12" spans="1:5" ht="12.75">
      <c r="A12" s="21">
        <f t="shared" si="0"/>
        <v>10</v>
      </c>
      <c r="B12" s="21">
        <f>IF(A12&gt;'P417-419'!D$3,0,CUMIPMT('P417-419'!D$2,'P417-419'!D$4,'P417-419'!B$4,A12*'P417-419'!D$5-('P417-419'!D$5-1),A12*'P417-419'!D$5,0))</f>
        <v>-4730.153197485274</v>
      </c>
      <c r="C12" s="21">
        <f t="shared" si="1"/>
        <v>-709.5229796227911</v>
      </c>
      <c r="D12" s="21">
        <f t="shared" si="1"/>
        <v>-1324.442895295877</v>
      </c>
      <c r="E12" s="21">
        <f t="shared" si="1"/>
        <v>-1513.6490231952878</v>
      </c>
    </row>
    <row r="13" spans="1:5" ht="12.75">
      <c r="A13" s="21">
        <f t="shared" si="0"/>
        <v>11</v>
      </c>
      <c r="B13" s="21">
        <f>IF(A13&gt;'P417-419'!D$3,0,CUMIPMT('P417-419'!D$2,'P417-419'!D$4,'P417-419'!B$4,A13*'P417-419'!D$5-('P417-419'!D$5-1),A13*'P417-419'!D$5,0))</f>
        <v>-3996.8261935302376</v>
      </c>
      <c r="C13" s="21">
        <f t="shared" si="1"/>
        <v>-599.5239290295356</v>
      </c>
      <c r="D13" s="21">
        <f t="shared" si="1"/>
        <v>-1119.1113341884666</v>
      </c>
      <c r="E13" s="21">
        <f t="shared" si="1"/>
        <v>-1278.9843819296761</v>
      </c>
    </row>
    <row r="14" spans="1:5" ht="12.75">
      <c r="A14" s="21">
        <f t="shared" si="0"/>
        <v>12</v>
      </c>
      <c r="B14" s="21">
        <f>IF(A14&gt;'P417-419'!D$3,0,CUMIPMT('P417-419'!D$2,'P417-419'!D$4,'P417-419'!B$4,A14*'P417-419'!D$5-('P417-419'!D$5-1),A14*'P417-419'!D$5,0))</f>
        <v>-3214.3869219968547</v>
      </c>
      <c r="C14" s="21">
        <f t="shared" si="1"/>
        <v>-482.1580382995282</v>
      </c>
      <c r="D14" s="21">
        <f t="shared" si="1"/>
        <v>-900.0283381591194</v>
      </c>
      <c r="E14" s="21">
        <f t="shared" si="1"/>
        <v>-1028.6038150389936</v>
      </c>
    </row>
    <row r="15" spans="1:5" ht="12.75">
      <c r="A15" s="21">
        <f t="shared" si="0"/>
        <v>13</v>
      </c>
      <c r="B15" s="21">
        <f>IF(A15&gt;'P417-419'!D$3,0,CUMIPMT('P417-419'!D$2,'P417-419'!D$4,'P417-419'!B$4,A15*'P417-419'!D$5-('P417-419'!D$5-1),A15*'P417-419'!D$5,0))</f>
        <v>-2379.5462433693606</v>
      </c>
      <c r="C15" s="21">
        <f t="shared" si="1"/>
        <v>-356.93193650540405</v>
      </c>
      <c r="D15" s="21">
        <f t="shared" si="1"/>
        <v>-666.272948143421</v>
      </c>
      <c r="E15" s="21">
        <f t="shared" si="1"/>
        <v>-761.4547978781954</v>
      </c>
    </row>
    <row r="16" spans="1:5" ht="12.75">
      <c r="A16" s="21">
        <f t="shared" si="0"/>
        <v>14</v>
      </c>
      <c r="B16" s="21">
        <f>IF(A16&gt;'P417-419'!D$3,0,CUMIPMT('P417-419'!D$2,'P417-419'!D$4,'P417-419'!B$4,A16*'P417-419'!D$5-('P417-419'!D$5-1),A16*'P417-419'!D$5,0))</f>
        <v>-1488.7947383671215</v>
      </c>
      <c r="C16" s="21">
        <f t="shared" si="1"/>
        <v>-223.3192107550682</v>
      </c>
      <c r="D16" s="21">
        <f t="shared" si="1"/>
        <v>-416.86252674279405</v>
      </c>
      <c r="E16" s="21">
        <f t="shared" si="1"/>
        <v>-476.41431627747886</v>
      </c>
    </row>
    <row r="17" spans="1:5" ht="12.75">
      <c r="A17" s="21">
        <f t="shared" si="0"/>
        <v>15</v>
      </c>
      <c r="B17" s="21">
        <f>IF(A17&gt;'P417-419'!D$3,0,CUMIPMT('P417-419'!D$2,'P417-419'!D$4,'P417-419'!B$4,A17*'P417-419'!D$5-('P417-419'!D$5-1),A17*'P417-419'!D$5,0))</f>
        <v>-538.3879554008295</v>
      </c>
      <c r="C17" s="21">
        <f t="shared" si="1"/>
        <v>-80.75819331012441</v>
      </c>
      <c r="D17" s="21">
        <f t="shared" si="1"/>
        <v>-150.74862751223228</v>
      </c>
      <c r="E17" s="21">
        <f t="shared" si="1"/>
        <v>-172.28414572826543</v>
      </c>
    </row>
    <row r="18" spans="1:5" ht="12.75">
      <c r="A18" s="21">
        <f t="shared" si="0"/>
        <v>16</v>
      </c>
      <c r="B18" s="21">
        <f>IF(A18&gt;'P417-419'!D$3,0,CUMIPMT('P417-419'!D$2,'P417-419'!D$4,'P417-419'!B$4,A18*'P417-419'!D$5-('P417-419'!D$5-1),A18*'P417-419'!D$5,0))</f>
        <v>0</v>
      </c>
      <c r="C18" s="21">
        <f t="shared" si="1"/>
        <v>0</v>
      </c>
      <c r="D18" s="21">
        <f t="shared" si="1"/>
        <v>0</v>
      </c>
      <c r="E18" s="21">
        <f t="shared" si="1"/>
        <v>0</v>
      </c>
    </row>
    <row r="19" spans="1:5" ht="12.75">
      <c r="A19" s="21">
        <f t="shared" si="0"/>
        <v>17</v>
      </c>
      <c r="B19" s="21">
        <f>IF(A19&gt;'P417-419'!D$3,0,CUMIPMT('P417-419'!D$2,'P417-419'!D$4,'P417-419'!B$4,A19*'P417-419'!D$5-('P417-419'!D$5-1),A19*'P417-419'!D$5,0))</f>
        <v>0</v>
      </c>
      <c r="C19" s="21">
        <f t="shared" si="1"/>
        <v>0</v>
      </c>
      <c r="D19" s="21">
        <f t="shared" si="1"/>
        <v>0</v>
      </c>
      <c r="E19" s="21">
        <f t="shared" si="1"/>
        <v>0</v>
      </c>
    </row>
    <row r="20" spans="1:5" ht="12.75">
      <c r="A20" s="21">
        <f t="shared" si="0"/>
        <v>18</v>
      </c>
      <c r="B20" s="21">
        <f>IF(A20&gt;'P417-419'!D$3,0,CUMIPMT('P417-419'!D$2,'P417-419'!D$4,'P417-419'!B$4,A20*'P417-419'!D$5-('P417-419'!D$5-1),A20*'P417-419'!D$5,0))</f>
        <v>0</v>
      </c>
      <c r="C20" s="21">
        <f t="shared" si="1"/>
        <v>0</v>
      </c>
      <c r="D20" s="21">
        <f t="shared" si="1"/>
        <v>0</v>
      </c>
      <c r="E20" s="21">
        <f t="shared" si="1"/>
        <v>0</v>
      </c>
    </row>
    <row r="21" spans="1:5" ht="12.75">
      <c r="A21" s="21">
        <f t="shared" si="0"/>
        <v>19</v>
      </c>
      <c r="B21" s="21">
        <f>IF(A21&gt;'P417-419'!D$3,0,CUMIPMT('P417-419'!D$2,'P417-419'!D$4,'P417-419'!B$4,A21*'P417-419'!D$5-('P417-419'!D$5-1),A21*'P417-419'!D$5,0))</f>
        <v>0</v>
      </c>
      <c r="C21" s="21">
        <f t="shared" si="1"/>
        <v>0</v>
      </c>
      <c r="D21" s="21">
        <f t="shared" si="1"/>
        <v>0</v>
      </c>
      <c r="E21" s="21">
        <f t="shared" si="1"/>
        <v>0</v>
      </c>
    </row>
    <row r="22" spans="1:5" ht="12.75">
      <c r="A22" s="21">
        <f t="shared" si="0"/>
        <v>20</v>
      </c>
      <c r="B22" s="21">
        <f>IF(A22&gt;'P417-419'!D$3,0,CUMIPMT('P417-419'!D$2,'P417-419'!D$4,'P417-419'!B$4,A22*'P417-419'!D$5-('P417-419'!D$5-1),A22*'P417-419'!D$5,0))</f>
        <v>0</v>
      </c>
      <c r="C22" s="21">
        <f t="shared" si="1"/>
        <v>0</v>
      </c>
      <c r="D22" s="21">
        <f t="shared" si="1"/>
        <v>0</v>
      </c>
      <c r="E22" s="21">
        <f t="shared" si="1"/>
        <v>0</v>
      </c>
    </row>
    <row r="23" spans="1:5" ht="12.75">
      <c r="A23" s="21">
        <f t="shared" si="0"/>
        <v>21</v>
      </c>
      <c r="B23" s="21">
        <f>IF(A23&gt;'P417-419'!D$3,0,CUMIPMT('P417-419'!D$2,'P417-419'!D$4,'P417-419'!B$4,A23*'P417-419'!D$5-('P417-419'!D$5-1),A23*'P417-419'!D$5,0))</f>
        <v>0</v>
      </c>
      <c r="C23" s="21">
        <f t="shared" si="1"/>
        <v>0</v>
      </c>
      <c r="D23" s="21">
        <f t="shared" si="1"/>
        <v>0</v>
      </c>
      <c r="E23" s="21">
        <f t="shared" si="1"/>
        <v>0</v>
      </c>
    </row>
    <row r="24" spans="1:5" ht="12.75">
      <c r="A24" s="21">
        <f t="shared" si="0"/>
        <v>22</v>
      </c>
      <c r="B24" s="21">
        <f>IF(A24&gt;'P417-419'!D$3,0,CUMIPMT('P417-419'!D$2,'P417-419'!D$4,'P417-419'!B$4,A24*'P417-419'!D$5-('P417-419'!D$5-1),A24*'P417-419'!D$5,0))</f>
        <v>0</v>
      </c>
      <c r="C24" s="21">
        <f t="shared" si="1"/>
        <v>0</v>
      </c>
      <c r="D24" s="21">
        <f t="shared" si="1"/>
        <v>0</v>
      </c>
      <c r="E24" s="21">
        <f t="shared" si="1"/>
        <v>0</v>
      </c>
    </row>
    <row r="25" spans="1:5" ht="12.75">
      <c r="A25" s="21">
        <f t="shared" si="0"/>
        <v>23</v>
      </c>
      <c r="B25" s="21">
        <f>IF(A25&gt;'P417-419'!D$3,0,CUMIPMT('P417-419'!D$2,'P417-419'!D$4,'P417-419'!B$4,A25*'P417-419'!D$5-('P417-419'!D$5-1),A25*'P417-419'!D$5,0))</f>
        <v>0</v>
      </c>
      <c r="C25" s="21">
        <f t="shared" si="1"/>
        <v>0</v>
      </c>
      <c r="D25" s="21">
        <f t="shared" si="1"/>
        <v>0</v>
      </c>
      <c r="E25" s="21">
        <f t="shared" si="1"/>
        <v>0</v>
      </c>
    </row>
    <row r="26" spans="1:5" ht="12.75">
      <c r="A26" s="21">
        <f t="shared" si="0"/>
        <v>24</v>
      </c>
      <c r="B26" s="21">
        <f>IF(A26&gt;'P417-419'!D$3,0,CUMIPMT('P417-419'!D$2,'P417-419'!D$4,'P417-419'!B$4,A26*'P417-419'!D$5-('P417-419'!D$5-1),A26*'P417-419'!D$5,0))</f>
        <v>0</v>
      </c>
      <c r="C26" s="21">
        <f t="shared" si="1"/>
        <v>0</v>
      </c>
      <c r="D26" s="21">
        <f t="shared" si="1"/>
        <v>0</v>
      </c>
      <c r="E26" s="21">
        <f t="shared" si="1"/>
        <v>0</v>
      </c>
    </row>
    <row r="27" spans="1:5" ht="12.75">
      <c r="A27" s="21">
        <f t="shared" si="0"/>
        <v>25</v>
      </c>
      <c r="B27" s="21">
        <f>IF(A27&gt;'P417-419'!D$3,0,CUMIPMT('P417-419'!D$2,'P417-419'!D$4,'P417-419'!B$4,A27*'P417-419'!D$5-('P417-419'!D$5-1),A27*'P417-419'!D$5,0))</f>
        <v>0</v>
      </c>
      <c r="C27" s="21">
        <f t="shared" si="1"/>
        <v>0</v>
      </c>
      <c r="D27" s="21">
        <f t="shared" si="1"/>
        <v>0</v>
      </c>
      <c r="E27" s="21">
        <f t="shared" si="1"/>
        <v>0</v>
      </c>
    </row>
    <row r="28" spans="1:5" ht="12.75">
      <c r="A28" s="21">
        <f t="shared" si="0"/>
        <v>26</v>
      </c>
      <c r="B28" s="21">
        <f>IF(A28&gt;'P417-419'!D$3,0,CUMIPMT('P417-419'!D$2,'P417-419'!D$4,'P417-419'!B$4,A28*'P417-419'!D$5-('P417-419'!D$5-1),A28*'P417-419'!D$5,0))</f>
        <v>0</v>
      </c>
      <c r="C28" s="21">
        <f t="shared" si="1"/>
        <v>0</v>
      </c>
      <c r="D28" s="21">
        <f t="shared" si="1"/>
        <v>0</v>
      </c>
      <c r="E28" s="21">
        <f t="shared" si="1"/>
        <v>0</v>
      </c>
    </row>
    <row r="29" spans="1:5" ht="12.75">
      <c r="A29" s="21">
        <f t="shared" si="0"/>
        <v>27</v>
      </c>
      <c r="B29" s="21">
        <f>IF(A29&gt;'P417-419'!D$3,0,CUMIPMT('P417-419'!D$2,'P417-419'!D$4,'P417-419'!B$4,A29*'P417-419'!D$5-('P417-419'!D$5-1),A29*'P417-419'!D$5,0))</f>
        <v>0</v>
      </c>
      <c r="C29" s="21">
        <f t="shared" si="1"/>
        <v>0</v>
      </c>
      <c r="D29" s="21">
        <f t="shared" si="1"/>
        <v>0</v>
      </c>
      <c r="E29" s="21">
        <f t="shared" si="1"/>
        <v>0</v>
      </c>
    </row>
    <row r="30" spans="1:5" ht="12.75">
      <c r="A30" s="21">
        <f t="shared" si="0"/>
        <v>28</v>
      </c>
      <c r="B30" s="21">
        <f>IF(A30&gt;'P417-419'!D$3,0,CUMIPMT('P417-419'!D$2,'P417-419'!D$4,'P417-419'!B$4,A30*'P417-419'!D$5-('P417-419'!D$5-1),A30*'P417-419'!D$5,0))</f>
        <v>0</v>
      </c>
      <c r="C30" s="21">
        <f t="shared" si="1"/>
        <v>0</v>
      </c>
      <c r="D30" s="21">
        <f t="shared" si="1"/>
        <v>0</v>
      </c>
      <c r="E30" s="21">
        <f t="shared" si="1"/>
        <v>0</v>
      </c>
    </row>
    <row r="31" spans="1:5" ht="12.75">
      <c r="A31" s="21">
        <f t="shared" si="0"/>
        <v>29</v>
      </c>
      <c r="B31" s="21">
        <f>IF(A31&gt;'P417-419'!D$3,0,CUMIPMT('P417-419'!D$2,'P417-419'!D$4,'P417-419'!B$4,A31*'P417-419'!D$5-('P417-419'!D$5-1),A31*'P417-419'!D$5,0))</f>
        <v>0</v>
      </c>
      <c r="C31" s="21">
        <f t="shared" si="1"/>
        <v>0</v>
      </c>
      <c r="D31" s="21">
        <f t="shared" si="1"/>
        <v>0</v>
      </c>
      <c r="E31" s="21">
        <f t="shared" si="1"/>
        <v>0</v>
      </c>
    </row>
    <row r="32" spans="1:5" ht="12.75">
      <c r="A32" s="21">
        <f t="shared" si="0"/>
        <v>30</v>
      </c>
      <c r="B32" s="21">
        <f>IF(A32&gt;'P417-419'!D$3,0,CUMIPMT('P417-419'!D$2,'P417-419'!D$4,'P417-419'!B$4,A32*'P417-419'!D$5-('P417-419'!D$5-1),A32*'P417-419'!D$5,0))</f>
        <v>0</v>
      </c>
      <c r="C32" s="21">
        <f t="shared" si="1"/>
        <v>0</v>
      </c>
      <c r="D32" s="21">
        <f t="shared" si="1"/>
        <v>0</v>
      </c>
      <c r="E32" s="21">
        <f t="shared" si="1"/>
        <v>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A1:B28"/>
  <sheetViews>
    <sheetView zoomScalePageLayoutView="0" workbookViewId="0" topLeftCell="A1">
      <selection activeCell="I31" sqref="I31"/>
    </sheetView>
  </sheetViews>
  <sheetFormatPr defaultColWidth="9.140625" defaultRowHeight="12.75"/>
  <cols>
    <col min="1" max="1" width="26.00390625" style="0" bestFit="1" customWidth="1"/>
    <col min="2" max="2" width="25.00390625" style="0" bestFit="1" customWidth="1"/>
    <col min="3" max="3" width="21.28125" style="0" customWidth="1"/>
  </cols>
  <sheetData>
    <row r="1" spans="1:2" ht="12.75">
      <c r="A1" s="165" t="s">
        <v>166</v>
      </c>
      <c r="B1" s="165"/>
    </row>
    <row r="2" spans="1:2" ht="12.75">
      <c r="A2" s="166" t="s">
        <v>167</v>
      </c>
      <c r="B2" s="167">
        <v>170000</v>
      </c>
    </row>
    <row r="3" spans="1:2" ht="12.75">
      <c r="A3" s="166" t="s">
        <v>168</v>
      </c>
      <c r="B3" s="167">
        <v>5000</v>
      </c>
    </row>
    <row r="4" spans="1:2" ht="12.75">
      <c r="A4" s="166" t="s">
        <v>169</v>
      </c>
      <c r="B4" s="168">
        <v>15</v>
      </c>
    </row>
    <row r="5" spans="1:2" ht="12.75">
      <c r="A5" s="169" t="s">
        <v>170</v>
      </c>
      <c r="B5" s="170">
        <f>SLN(B2,B3,B4)</f>
        <v>11000</v>
      </c>
    </row>
    <row r="7" spans="1:2" ht="12.75">
      <c r="A7" t="s">
        <v>171</v>
      </c>
      <c r="B7">
        <v>2</v>
      </c>
    </row>
    <row r="8" spans="1:2" ht="12.75">
      <c r="A8" s="169" t="s">
        <v>38</v>
      </c>
      <c r="B8" s="171" t="s">
        <v>172</v>
      </c>
    </row>
    <row r="9" spans="1:2" ht="12.75">
      <c r="A9" s="172">
        <v>1</v>
      </c>
      <c r="B9" s="173">
        <f aca="true" t="shared" si="0" ref="B9:B28">IF(A9&gt;B$4,0,DDB(B$2,B$3,B$4,A9,B$7))</f>
        <v>22666.666666666668</v>
      </c>
    </row>
    <row r="10" spans="1:2" ht="12.75">
      <c r="A10" s="21">
        <v>2</v>
      </c>
      <c r="B10" s="18">
        <f t="shared" si="0"/>
        <v>19644.444444444445</v>
      </c>
    </row>
    <row r="11" spans="1:2" ht="12.75">
      <c r="A11" s="21">
        <v>3</v>
      </c>
      <c r="B11" s="18">
        <f t="shared" si="0"/>
        <v>17025.185185185186</v>
      </c>
    </row>
    <row r="12" spans="1:2" ht="12.75">
      <c r="A12" s="21">
        <v>4</v>
      </c>
      <c r="B12" s="18">
        <f t="shared" si="0"/>
        <v>14755.160493827163</v>
      </c>
    </row>
    <row r="13" spans="1:2" ht="12.75">
      <c r="A13" s="21">
        <v>5</v>
      </c>
      <c r="B13" s="18">
        <f t="shared" si="0"/>
        <v>12787.805761316873</v>
      </c>
    </row>
    <row r="14" spans="1:2" ht="12.75">
      <c r="A14" s="21">
        <v>6</v>
      </c>
      <c r="B14" s="18">
        <f t="shared" si="0"/>
        <v>11082.76499314129</v>
      </c>
    </row>
    <row r="15" spans="1:2" ht="12.75">
      <c r="A15" s="21">
        <v>7</v>
      </c>
      <c r="B15" s="18">
        <f t="shared" si="0"/>
        <v>9605.062994055785</v>
      </c>
    </row>
    <row r="16" spans="1:2" ht="12.75">
      <c r="A16" s="21">
        <v>8</v>
      </c>
      <c r="B16" s="18">
        <f t="shared" si="0"/>
        <v>8324.387928181683</v>
      </c>
    </row>
    <row r="17" spans="1:2" ht="12.75">
      <c r="A17" s="21">
        <v>9</v>
      </c>
      <c r="B17" s="18">
        <f t="shared" si="0"/>
        <v>7214.469537757456</v>
      </c>
    </row>
    <row r="18" spans="1:2" ht="12.75">
      <c r="A18" s="21">
        <v>10</v>
      </c>
      <c r="B18" s="18">
        <f t="shared" si="0"/>
        <v>6252.540266056462</v>
      </c>
    </row>
    <row r="19" spans="1:2" ht="12.75">
      <c r="A19" s="21">
        <v>11</v>
      </c>
      <c r="B19" s="18">
        <f t="shared" si="0"/>
        <v>5418.868230582269</v>
      </c>
    </row>
    <row r="20" spans="1:2" ht="12.75">
      <c r="A20" s="21">
        <v>12</v>
      </c>
      <c r="B20" s="18">
        <f t="shared" si="0"/>
        <v>4696.3524665046325</v>
      </c>
    </row>
    <row r="21" spans="1:2" ht="12.75">
      <c r="A21" s="21">
        <v>13</v>
      </c>
      <c r="B21" s="18">
        <f t="shared" si="0"/>
        <v>4070.172137637348</v>
      </c>
    </row>
    <row r="22" spans="1:2" ht="12.75">
      <c r="A22" s="21">
        <v>14</v>
      </c>
      <c r="B22" s="18">
        <f t="shared" si="0"/>
        <v>3527.482519285702</v>
      </c>
    </row>
    <row r="23" spans="1:2" ht="12.75">
      <c r="A23" s="21">
        <v>15</v>
      </c>
      <c r="B23" s="18">
        <f t="shared" si="0"/>
        <v>3057.1515167142747</v>
      </c>
    </row>
    <row r="24" spans="1:2" ht="12.75">
      <c r="A24" s="21">
        <v>16</v>
      </c>
      <c r="B24" s="18">
        <f t="shared" si="0"/>
        <v>0</v>
      </c>
    </row>
    <row r="25" spans="1:2" ht="12.75">
      <c r="A25" s="21">
        <v>17</v>
      </c>
      <c r="B25" s="18">
        <f t="shared" si="0"/>
        <v>0</v>
      </c>
    </row>
    <row r="26" spans="1:2" ht="12.75">
      <c r="A26" s="21">
        <v>18</v>
      </c>
      <c r="B26" s="18">
        <f t="shared" si="0"/>
        <v>0</v>
      </c>
    </row>
    <row r="27" spans="1:2" ht="12.75">
      <c r="A27" s="21">
        <v>19</v>
      </c>
      <c r="B27" s="18">
        <f t="shared" si="0"/>
        <v>0</v>
      </c>
    </row>
    <row r="28" spans="1:2" ht="12.75">
      <c r="A28" s="21">
        <v>20</v>
      </c>
      <c r="B28" s="18">
        <f t="shared" si="0"/>
        <v>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J6"/>
  <sheetViews>
    <sheetView zoomScalePageLayoutView="0" workbookViewId="0" topLeftCell="A1">
      <selection activeCell="D3" sqref="D3"/>
    </sheetView>
  </sheetViews>
  <sheetFormatPr defaultColWidth="9.140625" defaultRowHeight="12.75"/>
  <cols>
    <col min="2" max="2" width="12.00390625" style="0" bestFit="1" customWidth="1"/>
    <col min="3" max="3" width="17.00390625" style="0" customWidth="1"/>
    <col min="7" max="7" width="10.28125" style="0" bestFit="1" customWidth="1"/>
    <col min="8" max="8" width="9.28125" style="0" bestFit="1" customWidth="1"/>
    <col min="10" max="10" width="9.28125" style="0" bestFit="1" customWidth="1"/>
  </cols>
  <sheetData>
    <row r="1" spans="1:10" ht="15.75">
      <c r="A1" s="24" t="s">
        <v>23</v>
      </c>
      <c r="B1" s="25"/>
      <c r="C1" s="25"/>
      <c r="D1" s="25"/>
      <c r="E1" s="25"/>
      <c r="F1" s="25"/>
      <c r="G1" s="25"/>
      <c r="H1" s="25"/>
      <c r="I1" s="26"/>
      <c r="J1" s="27"/>
    </row>
    <row r="2" spans="1:10" ht="51">
      <c r="A2" s="28" t="s">
        <v>24</v>
      </c>
      <c r="B2" s="28" t="s">
        <v>31</v>
      </c>
      <c r="C2" s="28" t="s">
        <v>25</v>
      </c>
      <c r="D2" s="28" t="s">
        <v>3</v>
      </c>
      <c r="E2" s="28" t="s">
        <v>34</v>
      </c>
      <c r="F2" s="28" t="s">
        <v>26</v>
      </c>
      <c r="G2" s="28" t="s">
        <v>27</v>
      </c>
      <c r="H2" s="28" t="s">
        <v>28</v>
      </c>
      <c r="I2" s="28" t="s">
        <v>29</v>
      </c>
      <c r="J2" s="28" t="s">
        <v>30</v>
      </c>
    </row>
    <row r="3" spans="1:10" ht="12.75">
      <c r="A3" s="21">
        <v>1</v>
      </c>
      <c r="B3" s="21" t="s">
        <v>32</v>
      </c>
      <c r="C3" s="21">
        <v>12</v>
      </c>
      <c r="D3" s="22">
        <f>RATE(C3*F3,G3,H3)*C3</f>
        <v>0.09064377923514454</v>
      </c>
      <c r="E3" s="32"/>
      <c r="F3" s="33">
        <v>2</v>
      </c>
      <c r="G3" s="30">
        <v>-1600</v>
      </c>
      <c r="H3" s="30">
        <v>35000</v>
      </c>
      <c r="I3" s="30"/>
      <c r="J3" s="31">
        <f>G3*C3</f>
        <v>-19200</v>
      </c>
    </row>
    <row r="4" spans="1:10" ht="12.75">
      <c r="A4" s="21">
        <v>2</v>
      </c>
      <c r="B4" s="21" t="s">
        <v>33</v>
      </c>
      <c r="C4" s="21">
        <v>4</v>
      </c>
      <c r="D4" s="29">
        <v>0.07</v>
      </c>
      <c r="E4" s="32">
        <v>18</v>
      </c>
      <c r="F4" s="35">
        <f>E4/12</f>
        <v>1.5</v>
      </c>
      <c r="G4" s="23">
        <f>PMT(D4/C4,F4*C4,H4)</f>
        <v>-7966.015043300499</v>
      </c>
      <c r="H4" s="30">
        <v>45000</v>
      </c>
      <c r="I4" s="30"/>
      <c r="J4" s="31">
        <f>G4*C4</f>
        <v>-31864.060173201997</v>
      </c>
    </row>
    <row r="5" spans="1:10" ht="12.75">
      <c r="A5" s="21">
        <v>3</v>
      </c>
      <c r="B5" s="21" t="s">
        <v>35</v>
      </c>
      <c r="C5" s="21">
        <v>12</v>
      </c>
      <c r="D5" s="29">
        <v>0.05</v>
      </c>
      <c r="E5" s="32"/>
      <c r="F5" s="33">
        <v>2</v>
      </c>
      <c r="G5" s="30">
        <v>-1200</v>
      </c>
      <c r="H5" s="23">
        <f>PV(D5/C5,F5*C5,G5)</f>
        <v>27352.6780727473</v>
      </c>
      <c r="I5" s="30"/>
      <c r="J5" s="31">
        <f>G5*C5</f>
        <v>-14400</v>
      </c>
    </row>
    <row r="6" spans="1:10" ht="12.75">
      <c r="A6" s="21">
        <v>4</v>
      </c>
      <c r="B6" s="21" t="s">
        <v>36</v>
      </c>
      <c r="C6" s="21">
        <v>12</v>
      </c>
      <c r="D6" s="29">
        <v>0.065</v>
      </c>
      <c r="E6" s="34">
        <f>ROUNDUP(NPER(D6/C6,G6,H6),0)</f>
        <v>19</v>
      </c>
      <c r="F6" s="35">
        <f>E6/12</f>
        <v>1.5833333333333333</v>
      </c>
      <c r="G6" s="30">
        <v>-1400</v>
      </c>
      <c r="H6" s="30">
        <v>25000</v>
      </c>
      <c r="I6" s="30"/>
      <c r="J6" s="31">
        <f>G6*C6</f>
        <v>-16800</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J28"/>
  <sheetViews>
    <sheetView zoomScalePageLayoutView="0" workbookViewId="0" topLeftCell="A1">
      <selection activeCell="I11" sqref="I11"/>
    </sheetView>
  </sheetViews>
  <sheetFormatPr defaultColWidth="9.140625" defaultRowHeight="12.75"/>
  <cols>
    <col min="1" max="1" width="44.57421875" style="85" bestFit="1" customWidth="1"/>
    <col min="2" max="2" width="11.421875" style="85" bestFit="1" customWidth="1"/>
    <col min="3" max="3" width="11.8515625" style="85" bestFit="1" customWidth="1"/>
    <col min="4" max="4" width="14.28125" style="85" bestFit="1" customWidth="1"/>
    <col min="5" max="7" width="12.8515625" style="85" bestFit="1" customWidth="1"/>
    <col min="8" max="16384" width="9.140625" style="85" customWidth="1"/>
  </cols>
  <sheetData>
    <row r="1" spans="1:7" ht="12.75">
      <c r="A1" s="131" t="s">
        <v>106</v>
      </c>
      <c r="B1" s="131"/>
      <c r="C1" s="131"/>
      <c r="D1" s="131"/>
      <c r="E1" s="131"/>
      <c r="F1" s="131"/>
      <c r="G1" s="131"/>
    </row>
    <row r="2" spans="1:7" ht="25.5">
      <c r="A2" s="122" t="s">
        <v>1</v>
      </c>
      <c r="B2" s="123" t="s">
        <v>107</v>
      </c>
      <c r="C2" s="123" t="s">
        <v>108</v>
      </c>
      <c r="D2" s="123" t="s">
        <v>109</v>
      </c>
      <c r="E2" s="122" t="s">
        <v>110</v>
      </c>
      <c r="F2" s="122" t="s">
        <v>111</v>
      </c>
      <c r="G2" s="122" t="s">
        <v>69</v>
      </c>
    </row>
    <row r="3" spans="1:7" ht="12.75">
      <c r="A3" s="124" t="s">
        <v>112</v>
      </c>
      <c r="B3" s="125">
        <v>0.08</v>
      </c>
      <c r="C3" s="126">
        <v>5</v>
      </c>
      <c r="D3" s="126">
        <v>4</v>
      </c>
      <c r="E3" s="127">
        <v>1000000</v>
      </c>
      <c r="F3" s="128">
        <v>0</v>
      </c>
      <c r="G3" s="129">
        <f>PMT(B3/D3,C3*D3,E3,F3)</f>
        <v>-61156.71812529039</v>
      </c>
    </row>
    <row r="4" spans="1:7" ht="3.75" customHeight="1">
      <c r="A4" s="177"/>
      <c r="B4" s="177"/>
      <c r="C4" s="130"/>
      <c r="D4" s="132"/>
      <c r="E4" s="132"/>
      <c r="F4"/>
      <c r="G4"/>
    </row>
    <row r="5" spans="1:10" ht="12.75">
      <c r="A5" s="89" t="s">
        <v>113</v>
      </c>
      <c r="B5" s="89"/>
      <c r="C5" s="89" t="s">
        <v>114</v>
      </c>
      <c r="D5" s="89" t="s">
        <v>115</v>
      </c>
      <c r="E5" s="89" t="s">
        <v>61</v>
      </c>
      <c r="F5"/>
      <c r="G5"/>
      <c r="J5" s="87"/>
    </row>
    <row r="6" spans="1:10" ht="12.75">
      <c r="A6" s="126" t="s">
        <v>116</v>
      </c>
      <c r="B6" s="126"/>
      <c r="C6" s="127">
        <v>1000000</v>
      </c>
      <c r="D6" s="127">
        <v>25000</v>
      </c>
      <c r="E6" s="126">
        <v>10</v>
      </c>
      <c r="F6"/>
      <c r="G6"/>
      <c r="J6" s="87"/>
    </row>
    <row r="7" spans="1:7" ht="3.75" customHeight="1">
      <c r="A7" s="130"/>
      <c r="B7" s="130"/>
      <c r="C7" s="130"/>
      <c r="D7" s="130"/>
      <c r="E7" s="130"/>
      <c r="F7"/>
      <c r="G7"/>
    </row>
    <row r="8" spans="1:7" ht="12.75">
      <c r="A8" s="89" t="s">
        <v>121</v>
      </c>
      <c r="B8" s="125">
        <v>0.25</v>
      </c>
      <c r="C8" s="10"/>
      <c r="D8" s="89" t="s">
        <v>80</v>
      </c>
      <c r="E8" s="125">
        <v>0.35</v>
      </c>
      <c r="F8" s="86"/>
      <c r="G8" s="86"/>
    </row>
    <row r="9" spans="1:7" ht="12.75">
      <c r="A9" s="87"/>
      <c r="B9" s="87"/>
      <c r="C9" s="87"/>
      <c r="D9" s="87"/>
      <c r="E9" s="87"/>
      <c r="F9" s="87"/>
      <c r="G9" s="87"/>
    </row>
    <row r="10" spans="1:7" ht="15.75">
      <c r="A10" s="78" t="s">
        <v>117</v>
      </c>
      <c r="B10" s="78"/>
      <c r="C10" s="78"/>
      <c r="D10" s="78"/>
      <c r="E10" s="78"/>
      <c r="F10" s="78"/>
      <c r="G10" s="78"/>
    </row>
    <row r="11" spans="1:7" ht="12.75">
      <c r="A11" s="88" t="s">
        <v>82</v>
      </c>
      <c r="B11" s="89">
        <v>0</v>
      </c>
      <c r="C11" s="89">
        <v>1</v>
      </c>
      <c r="D11" s="89">
        <v>2</v>
      </c>
      <c r="E11" s="89">
        <v>3</v>
      </c>
      <c r="F11" s="89">
        <v>4</v>
      </c>
      <c r="G11" s="90">
        <v>5</v>
      </c>
    </row>
    <row r="12" spans="1:7" ht="12.75">
      <c r="A12" s="91" t="s">
        <v>39</v>
      </c>
      <c r="B12" s="92"/>
      <c r="C12" s="93">
        <v>4450</v>
      </c>
      <c r="D12" s="93">
        <v>25000</v>
      </c>
      <c r="E12" s="93">
        <v>50000</v>
      </c>
      <c r="F12" s="93">
        <v>65000</v>
      </c>
      <c r="G12" s="94">
        <v>70000</v>
      </c>
    </row>
    <row r="13" spans="1:7" ht="12.75">
      <c r="A13" s="91" t="s">
        <v>40</v>
      </c>
      <c r="B13" s="92"/>
      <c r="C13" s="95">
        <v>225</v>
      </c>
      <c r="D13" s="95">
        <v>225</v>
      </c>
      <c r="E13" s="95">
        <v>225</v>
      </c>
      <c r="F13" s="95">
        <v>225</v>
      </c>
      <c r="G13" s="96">
        <v>225</v>
      </c>
    </row>
    <row r="14" spans="1:7" ht="12.75">
      <c r="A14" s="91" t="s">
        <v>118</v>
      </c>
      <c r="B14" s="92"/>
      <c r="C14" s="97">
        <v>177.9</v>
      </c>
      <c r="D14" s="97">
        <v>177.9</v>
      </c>
      <c r="E14" s="97">
        <v>177.9</v>
      </c>
      <c r="F14" s="97">
        <v>177.9</v>
      </c>
      <c r="G14" s="98">
        <v>177.9</v>
      </c>
    </row>
    <row r="15" spans="1:7" ht="12.75">
      <c r="A15" s="91" t="s">
        <v>119</v>
      </c>
      <c r="B15" s="92"/>
      <c r="C15" s="95">
        <v>10</v>
      </c>
      <c r="D15" s="95">
        <v>10</v>
      </c>
      <c r="E15" s="95">
        <v>10</v>
      </c>
      <c r="F15" s="95">
        <v>10</v>
      </c>
      <c r="G15" s="96">
        <v>10</v>
      </c>
    </row>
    <row r="16" spans="1:7" ht="12.75">
      <c r="A16" s="99"/>
      <c r="B16" s="100"/>
      <c r="C16" s="101"/>
      <c r="D16" s="100"/>
      <c r="E16" s="100"/>
      <c r="F16" s="100"/>
      <c r="G16" s="102"/>
    </row>
    <row r="17" spans="1:7" ht="12.75">
      <c r="A17" s="99" t="s">
        <v>41</v>
      </c>
      <c r="B17" s="100"/>
      <c r="C17" s="103">
        <f>C$12*C13</f>
        <v>1001250</v>
      </c>
      <c r="D17" s="103">
        <f>D12*D13</f>
        <v>5625000</v>
      </c>
      <c r="E17" s="103">
        <f>E12*E13</f>
        <v>11250000</v>
      </c>
      <c r="F17" s="103">
        <f>F12*F13</f>
        <v>14625000</v>
      </c>
      <c r="G17" s="104">
        <f>G12*G13</f>
        <v>15750000</v>
      </c>
    </row>
    <row r="18" spans="1:7" ht="12.75">
      <c r="A18" s="99" t="s">
        <v>43</v>
      </c>
      <c r="B18" s="105"/>
      <c r="C18" s="103">
        <f>-C14*C12</f>
        <v>-791655</v>
      </c>
      <c r="D18" s="103">
        <f>-D14*D12</f>
        <v>-4447500</v>
      </c>
      <c r="E18" s="103">
        <f>-E14*E12</f>
        <v>-8895000</v>
      </c>
      <c r="F18" s="103">
        <f>-F14*F12</f>
        <v>-11563500</v>
      </c>
      <c r="G18" s="104">
        <f>-G14*G12</f>
        <v>-12453000</v>
      </c>
    </row>
    <row r="19" spans="1:7" ht="12.75">
      <c r="A19" s="99" t="s">
        <v>44</v>
      </c>
      <c r="B19" s="10"/>
      <c r="C19" s="103">
        <f>-C12*C15</f>
        <v>-44500</v>
      </c>
      <c r="D19" s="103">
        <f>-D12*D15</f>
        <v>-250000</v>
      </c>
      <c r="E19" s="103">
        <f>-E12*E15</f>
        <v>-500000</v>
      </c>
      <c r="F19" s="103">
        <f>-F12*F15</f>
        <v>-650000</v>
      </c>
      <c r="G19" s="104">
        <f>-G12*G15</f>
        <v>-700000</v>
      </c>
    </row>
    <row r="20" spans="1:7" s="108" customFormat="1" ht="12.75">
      <c r="A20" s="106"/>
      <c r="B20" s="86"/>
      <c r="C20" s="86"/>
      <c r="D20" s="86"/>
      <c r="E20" s="86"/>
      <c r="F20" s="86"/>
      <c r="G20" s="107"/>
    </row>
    <row r="21" spans="1:7" ht="12.75">
      <c r="A21" s="99" t="s">
        <v>45</v>
      </c>
      <c r="B21" s="100"/>
      <c r="C21" s="103">
        <f>SUM(C17:C19)</f>
        <v>165095</v>
      </c>
      <c r="D21" s="103">
        <f>SUM(D17:D19)</f>
        <v>927500</v>
      </c>
      <c r="E21" s="103">
        <f>SUM(E17:E19)</f>
        <v>1855000</v>
      </c>
      <c r="F21" s="103">
        <f>SUM(F17:F19)</f>
        <v>2411500</v>
      </c>
      <c r="G21" s="104">
        <f>SUM(G17:G19)</f>
        <v>2597000</v>
      </c>
    </row>
    <row r="22" spans="1:7" ht="12.75">
      <c r="A22" s="99"/>
      <c r="B22" s="100"/>
      <c r="C22" s="100"/>
      <c r="D22" s="100"/>
      <c r="E22" s="100"/>
      <c r="F22" s="100"/>
      <c r="G22" s="102"/>
    </row>
    <row r="23" spans="1:8" ht="12.75">
      <c r="A23" s="109" t="s">
        <v>62</v>
      </c>
      <c r="B23" s="100"/>
      <c r="C23" s="110">
        <f>CUMIPMT($B$3/$D$3,$C$3*$D$3,$E$3,C11*4-3,C11*4,0)</f>
        <v>-74995.01382221968</v>
      </c>
      <c r="D23" s="110">
        <f>CUMIPMT($B$3/$D$3,$C$3*$D$3,$E$3,D11*4-3,D11*4,0)</f>
        <v>-61011.89330649976</v>
      </c>
      <c r="E23" s="110">
        <f>CUMIPMT($B$3/$D$3,$C$3*$D$3,$E$3,E11*4-3,E11*4,0)</f>
        <v>-45876.11396312873</v>
      </c>
      <c r="F23" s="110">
        <f>CUMIPMT($B$3/$D$3,$C$3*$D$3,$E$3,F11*4-3,F11*4,0)</f>
        <v>-29492.659635200234</v>
      </c>
      <c r="G23" s="111">
        <f>CUMIPMT($B$3/$D$3,$C$3*$D$3,$E$3,G11*4-3,G11*4,0)</f>
        <v>-11758.68177875925</v>
      </c>
      <c r="H23" s="112"/>
    </row>
    <row r="24" spans="1:8" ht="12.75">
      <c r="A24" s="109" t="s">
        <v>63</v>
      </c>
      <c r="B24" s="100"/>
      <c r="C24" s="110">
        <f>-SLN($C6,$D6,$E6)</f>
        <v>-97500</v>
      </c>
      <c r="D24" s="110">
        <f>-SLN($C6,$D6,$E6)</f>
        <v>-97500</v>
      </c>
      <c r="E24" s="110">
        <f>-SLN($C6,$D6,$E6)</f>
        <v>-97500</v>
      </c>
      <c r="F24" s="110">
        <f>-SLN($C6,$D6,$E6)</f>
        <v>-97500</v>
      </c>
      <c r="G24" s="111">
        <f>-SLN($C6,$D6,$E6)</f>
        <v>-97500</v>
      </c>
      <c r="H24" s="113"/>
    </row>
    <row r="25" spans="1:7" ht="12.75">
      <c r="A25" s="109" t="s">
        <v>64</v>
      </c>
      <c r="B25" s="100"/>
      <c r="C25" s="114">
        <f>SUM(C21,C23:C24)</f>
        <v>-7400.013822219684</v>
      </c>
      <c r="D25" s="114">
        <f>SUM(D21,D23:D24)</f>
        <v>768988.1066935002</v>
      </c>
      <c r="E25" s="114">
        <f>SUM(E21,E23:E24)</f>
        <v>1711623.8860368712</v>
      </c>
      <c r="F25" s="114">
        <f>SUM(F21,F23:F24)</f>
        <v>2284507.3403648</v>
      </c>
      <c r="G25" s="115">
        <f>SUM(G21,G23:G24)</f>
        <v>2487741.318221241</v>
      </c>
    </row>
    <row r="26" spans="1:7" ht="12.75">
      <c r="A26" s="99"/>
      <c r="B26" s="100"/>
      <c r="C26" s="100"/>
      <c r="D26" s="100"/>
      <c r="E26" s="100"/>
      <c r="F26" s="100"/>
      <c r="G26" s="102"/>
    </row>
    <row r="27" spans="1:7" ht="12.75">
      <c r="A27" s="99" t="s">
        <v>120</v>
      </c>
      <c r="B27" s="100"/>
      <c r="C27" s="116">
        <f>$E8*C25</f>
        <v>-2590.004837776889</v>
      </c>
      <c r="D27" s="116">
        <f>$E8*D25</f>
        <v>269145.8373427251</v>
      </c>
      <c r="E27" s="116">
        <f>$E8*E25</f>
        <v>599068.3601129049</v>
      </c>
      <c r="F27" s="116">
        <f>$E8*F25</f>
        <v>799577.5691276799</v>
      </c>
      <c r="G27" s="117">
        <f>$E8*G25</f>
        <v>870709.4613774342</v>
      </c>
    </row>
    <row r="28" spans="1:7" ht="13.5" thickBot="1">
      <c r="A28" s="118" t="s">
        <v>66</v>
      </c>
      <c r="B28" s="119">
        <f>-E3</f>
        <v>-1000000</v>
      </c>
      <c r="C28" s="120">
        <f>C27+C25</f>
        <v>-9990.018659996573</v>
      </c>
      <c r="D28" s="120">
        <f>D27+D25</f>
        <v>1038133.9440362253</v>
      </c>
      <c r="E28" s="120">
        <f>E27+E25</f>
        <v>2310692.246149776</v>
      </c>
      <c r="F28" s="120">
        <f>F27+F25</f>
        <v>3084084.9094924796</v>
      </c>
      <c r="G28" s="121">
        <f>G27+G25</f>
        <v>3358450.7795986747</v>
      </c>
    </row>
  </sheetData>
  <sheetProtection/>
  <mergeCells count="1">
    <mergeCell ref="A4:B4"/>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9"/>
  </sheetPr>
  <dimension ref="A1:L33"/>
  <sheetViews>
    <sheetView zoomScale="85" zoomScaleNormal="85" zoomScalePageLayoutView="0" workbookViewId="0" topLeftCell="A1">
      <selection activeCell="C7" sqref="C7"/>
    </sheetView>
  </sheetViews>
  <sheetFormatPr defaultColWidth="9.140625" defaultRowHeight="12.75"/>
  <cols>
    <col min="1" max="1" width="25.7109375" style="0" bestFit="1" customWidth="1"/>
    <col min="2" max="2" width="9.7109375" style="0" bestFit="1" customWidth="1"/>
    <col min="3" max="3" width="12.00390625" style="0" bestFit="1" customWidth="1"/>
    <col min="4" max="4" width="13.421875" style="0" bestFit="1" customWidth="1"/>
    <col min="5" max="5" width="12.421875" style="0" bestFit="1" customWidth="1"/>
    <col min="6" max="6" width="13.00390625" style="0" bestFit="1" customWidth="1"/>
    <col min="7" max="7" width="13.421875" style="0" bestFit="1" customWidth="1"/>
    <col min="8" max="8" width="9.7109375" style="0" bestFit="1" customWidth="1"/>
    <col min="13" max="13" width="9.7109375" style="0" bestFit="1" customWidth="1"/>
  </cols>
  <sheetData>
    <row r="1" spans="1:7" ht="15.75" thickBot="1">
      <c r="A1" s="175" t="s">
        <v>37</v>
      </c>
      <c r="B1" s="175"/>
      <c r="C1" s="175"/>
      <c r="D1" s="175"/>
      <c r="E1" s="175"/>
      <c r="F1" s="175"/>
      <c r="G1" s="175"/>
    </row>
    <row r="2" spans="1:7" ht="12.75">
      <c r="A2" s="36"/>
      <c r="B2" s="37"/>
      <c r="C2" s="37"/>
      <c r="D2" s="37"/>
      <c r="E2" s="37"/>
      <c r="F2" s="37"/>
      <c r="G2" s="38"/>
    </row>
    <row r="3" spans="1:12" ht="12.75">
      <c r="A3" s="39" t="s">
        <v>38</v>
      </c>
      <c r="B3" s="40"/>
      <c r="C3" s="40">
        <v>1</v>
      </c>
      <c r="D3" s="40">
        <v>2</v>
      </c>
      <c r="E3" s="40">
        <v>3</v>
      </c>
      <c r="F3" s="40">
        <v>4</v>
      </c>
      <c r="G3" s="41">
        <v>5</v>
      </c>
      <c r="H3" s="40">
        <v>6</v>
      </c>
      <c r="I3" s="41">
        <v>7</v>
      </c>
      <c r="J3" s="40">
        <v>8</v>
      </c>
      <c r="K3" s="41">
        <v>9</v>
      </c>
      <c r="L3" s="40">
        <v>10</v>
      </c>
    </row>
    <row r="4" spans="1:7" ht="12.75">
      <c r="A4" s="42" t="s">
        <v>39</v>
      </c>
      <c r="B4" s="42"/>
      <c r="C4" s="43">
        <v>4450</v>
      </c>
      <c r="D4" s="43">
        <v>25000</v>
      </c>
      <c r="E4" s="43">
        <v>50000</v>
      </c>
      <c r="F4" s="43">
        <v>65000</v>
      </c>
      <c r="G4" s="43">
        <v>70000</v>
      </c>
    </row>
    <row r="5" spans="1:7" ht="12.75">
      <c r="A5" s="42" t="s">
        <v>40</v>
      </c>
      <c r="B5" s="42"/>
      <c r="C5" s="44">
        <v>225</v>
      </c>
      <c r="D5" s="44">
        <v>225</v>
      </c>
      <c r="E5" s="44">
        <v>225</v>
      </c>
      <c r="F5" s="44">
        <v>225</v>
      </c>
      <c r="G5" s="44">
        <v>225</v>
      </c>
    </row>
    <row r="6" spans="1:7" ht="12.75">
      <c r="A6" s="21"/>
      <c r="B6" s="21"/>
      <c r="C6" s="3"/>
      <c r="D6" s="21"/>
      <c r="E6" s="21"/>
      <c r="F6" s="21"/>
      <c r="G6" s="21"/>
    </row>
    <row r="7" spans="1:7" ht="12.75">
      <c r="A7" s="21" t="s">
        <v>41</v>
      </c>
      <c r="B7" s="21"/>
      <c r="C7" s="44">
        <f>C4*C5</f>
        <v>1001250</v>
      </c>
      <c r="D7" s="44">
        <f>D4*D5</f>
        <v>5625000</v>
      </c>
      <c r="E7" s="44">
        <f>E4*E5</f>
        <v>11250000</v>
      </c>
      <c r="F7" s="44">
        <f>F4*F5</f>
        <v>14625000</v>
      </c>
      <c r="G7" s="44">
        <f>G4*G5</f>
        <v>15750000</v>
      </c>
    </row>
    <row r="8" spans="1:7" ht="12.75">
      <c r="A8" s="45"/>
      <c r="B8" s="46" t="s">
        <v>42</v>
      </c>
      <c r="C8" s="45"/>
      <c r="D8" s="45"/>
      <c r="E8" s="45"/>
      <c r="F8" s="45"/>
      <c r="G8" s="45"/>
    </row>
    <row r="9" spans="1:7" ht="12.75">
      <c r="A9" s="21" t="s">
        <v>43</v>
      </c>
      <c r="B9" s="47">
        <v>-177.9</v>
      </c>
      <c r="C9" s="44">
        <f>C$4*$B9</f>
        <v>-791655</v>
      </c>
      <c r="D9" s="44">
        <f aca="true" t="shared" si="0" ref="C9:G10">D$4*$B9</f>
        <v>-4447500</v>
      </c>
      <c r="E9" s="44">
        <f t="shared" si="0"/>
        <v>-8895000</v>
      </c>
      <c r="F9" s="44">
        <f t="shared" si="0"/>
        <v>-11563500</v>
      </c>
      <c r="G9" s="44">
        <f t="shared" si="0"/>
        <v>-12453000</v>
      </c>
    </row>
    <row r="10" spans="1:7" ht="12.75">
      <c r="A10" s="21" t="s">
        <v>44</v>
      </c>
      <c r="B10" s="48">
        <v>-10</v>
      </c>
      <c r="C10" s="44">
        <f t="shared" si="0"/>
        <v>-44500</v>
      </c>
      <c r="D10" s="44">
        <f t="shared" si="0"/>
        <v>-250000</v>
      </c>
      <c r="E10" s="44">
        <f t="shared" si="0"/>
        <v>-500000</v>
      </c>
      <c r="F10" s="44">
        <f t="shared" si="0"/>
        <v>-650000</v>
      </c>
      <c r="G10" s="44">
        <f>G$4*$B10</f>
        <v>-700000</v>
      </c>
    </row>
    <row r="11" spans="1:7" ht="12.75">
      <c r="A11" s="45"/>
      <c r="B11" s="45"/>
      <c r="C11" s="45"/>
      <c r="D11" s="45"/>
      <c r="E11" s="45"/>
      <c r="F11" s="45"/>
      <c r="G11" s="45"/>
    </row>
    <row r="12" spans="1:7" ht="12.75">
      <c r="A12" s="21" t="s">
        <v>45</v>
      </c>
      <c r="B12" s="21"/>
      <c r="C12" s="44">
        <f>SUM(C7,C9:C10)</f>
        <v>165095</v>
      </c>
      <c r="D12" s="44">
        <f>SUM(D7,D9:D10)</f>
        <v>927500</v>
      </c>
      <c r="E12" s="44">
        <f>SUM(E7,E9:E10)</f>
        <v>1855000</v>
      </c>
      <c r="F12" s="44">
        <f>SUM(F7,F9:F10)</f>
        <v>2411500</v>
      </c>
      <c r="G12" s="44">
        <f>SUM(G7,G9:G10)</f>
        <v>2597000</v>
      </c>
    </row>
    <row r="13" spans="1:7" ht="12.75">
      <c r="A13" s="21"/>
      <c r="B13" s="21"/>
      <c r="C13" s="21"/>
      <c r="D13" s="21"/>
      <c r="E13" s="21"/>
      <c r="F13" s="21"/>
      <c r="G13" s="21"/>
    </row>
    <row r="14" spans="1:9" ht="12.75">
      <c r="A14" s="21" t="s">
        <v>62</v>
      </c>
      <c r="B14" s="21"/>
      <c r="C14" s="44">
        <f>CUMIPMT('P379-383'!$D3,'P379-383'!$D4,'P379-383'!$B2,C3*'P379-383'!$B5-('P379-383'!$B5-1),C3*'P379-383'!$B5,0)</f>
        <v>-74995.01382221968</v>
      </c>
      <c r="D14" s="44">
        <f>CUMIPMT('P379-383'!$D3,'P379-383'!$D4,'P379-383'!$B2,D3*'P379-383'!$B5-('P379-383'!$B5-1),D3*'P379-383'!$B5,0)</f>
        <v>-61011.89330649976</v>
      </c>
      <c r="E14" s="44">
        <f>CUMIPMT('P379-383'!$D3,'P379-383'!$D4,'P379-383'!$B2,E3*'P379-383'!$B5-('P379-383'!$B5-1),E3*'P379-383'!$B5,0)</f>
        <v>-45876.11396312873</v>
      </c>
      <c r="F14" s="44">
        <f>CUMIPMT('P379-383'!$D3,'P379-383'!$D4,'P379-383'!$B2,F3*'P379-383'!$B5-('P379-383'!$B5-1),F3*'P379-383'!$B5,0)</f>
        <v>-29492.659635200234</v>
      </c>
      <c r="G14" s="44">
        <f>CUMIPMT('P379-383'!$D3,'P379-383'!$D4,'P379-383'!$B2,G3*'P379-383'!$B5-('P379-383'!$B5-1),G3*'P379-383'!$B5,0)</f>
        <v>-11758.68177875925</v>
      </c>
      <c r="I14" t="s">
        <v>80</v>
      </c>
    </row>
    <row r="15" spans="1:9" ht="12.75">
      <c r="A15" s="21" t="s">
        <v>63</v>
      </c>
      <c r="B15" s="21"/>
      <c r="C15" s="44">
        <f>-SLN(Capital,Salvage,Life)</f>
        <v>-97500</v>
      </c>
      <c r="D15" s="44">
        <f>-SLN(Capital,Salvage,Life)</f>
        <v>-97500</v>
      </c>
      <c r="E15" s="44">
        <f>-SLN(Capital,Salvage,Life)</f>
        <v>-97500</v>
      </c>
      <c r="F15" s="44">
        <f>-SLN(Capital,Salvage,Life)</f>
        <v>-97500</v>
      </c>
      <c r="G15" s="44">
        <f>-SLN(Capital,Salvage,Life)</f>
        <v>-97500</v>
      </c>
      <c r="I15">
        <v>0.35</v>
      </c>
    </row>
    <row r="16" spans="1:7" ht="12.75">
      <c r="A16" s="21" t="s">
        <v>64</v>
      </c>
      <c r="B16" s="21"/>
      <c r="C16" s="59">
        <f>C12+SUM(C14:C15)</f>
        <v>-7400.013822219684</v>
      </c>
      <c r="D16" s="59">
        <f>D12+SUM(D14:D15)</f>
        <v>768988.1066935002</v>
      </c>
      <c r="E16" s="59">
        <f>E12+SUM(E14:E15)</f>
        <v>1711623.8860368712</v>
      </c>
      <c r="F16" s="59">
        <f>F12+SUM(F14:F15)</f>
        <v>2284507.3403648</v>
      </c>
      <c r="G16" s="59">
        <f>G12+SUM(G14:G15)</f>
        <v>2487741.318221241</v>
      </c>
    </row>
    <row r="17" spans="1:7" ht="12.75">
      <c r="A17" s="21"/>
      <c r="B17" s="21"/>
      <c r="C17" s="21"/>
      <c r="D17" s="21"/>
      <c r="E17" s="21"/>
      <c r="F17" s="21"/>
      <c r="G17" s="21"/>
    </row>
    <row r="18" spans="1:7" ht="12.75">
      <c r="A18" s="21" t="s">
        <v>65</v>
      </c>
      <c r="B18" s="21"/>
      <c r="C18" s="59">
        <f>-ROUND($I15*C16,0)</f>
        <v>2590</v>
      </c>
      <c r="D18" s="59">
        <f>-ROUND($I15*D16,0)</f>
        <v>-269146</v>
      </c>
      <c r="E18" s="59">
        <f>-ROUND($I15*E16,0)</f>
        <v>-599068</v>
      </c>
      <c r="F18" s="59">
        <f>-ROUND($I15*F16,0)</f>
        <v>-799578</v>
      </c>
      <c r="G18" s="59">
        <f>-ROUND($I15*G16,0)</f>
        <v>-870709</v>
      </c>
    </row>
    <row r="19" spans="1:7" ht="12.75">
      <c r="A19" s="21" t="s">
        <v>66</v>
      </c>
      <c r="B19" s="21"/>
      <c r="C19" s="59">
        <f>C16+C18</f>
        <v>-4810.013822219684</v>
      </c>
      <c r="D19" s="59">
        <f>D16+D18</f>
        <v>499842.1066935002</v>
      </c>
      <c r="E19" s="59">
        <f>E16+E18</f>
        <v>1112555.8860368712</v>
      </c>
      <c r="F19" s="59">
        <f>F16+F18</f>
        <v>1484929.3403647998</v>
      </c>
      <c r="G19" s="59">
        <f>G16+G18</f>
        <v>1617032.3182212408</v>
      </c>
    </row>
    <row r="20" spans="1:7" ht="12.75">
      <c r="A20" s="21"/>
      <c r="B20" s="21"/>
      <c r="C20" s="21"/>
      <c r="D20" s="21"/>
      <c r="E20" s="21"/>
      <c r="F20" s="21"/>
      <c r="G20" s="21"/>
    </row>
    <row r="21" spans="1:7" ht="12.75">
      <c r="A21" s="21" t="s">
        <v>67</v>
      </c>
      <c r="B21" s="21"/>
      <c r="C21" s="59">
        <f>-C15</f>
        <v>97500</v>
      </c>
      <c r="D21" s="59">
        <f>-D15</f>
        <v>97500</v>
      </c>
      <c r="E21" s="59">
        <f>-E15</f>
        <v>97500</v>
      </c>
      <c r="F21" s="59">
        <f>-F15</f>
        <v>97500</v>
      </c>
      <c r="G21" s="59">
        <f>-G15</f>
        <v>97500</v>
      </c>
    </row>
    <row r="22" spans="1:7" ht="12.75">
      <c r="A22" s="21" t="s">
        <v>68</v>
      </c>
      <c r="B22" s="21"/>
      <c r="C22" s="44">
        <f>CUMPRINC('P379-383'!$D3,'P379-383'!$D4,'P379-383'!$B2,C3*'P379-383'!$B5-('P379-383'!$B5-1),C3*'P379-383'!$B5,0)</f>
        <v>-169631.85867894194</v>
      </c>
      <c r="D22" s="44">
        <f>CUMPRINC('P379-383'!$D3,'P379-383'!$D4,'P379-383'!$B2,D3*'P379-383'!$B5-('P379-383'!$B5-1),D3*'P379-383'!$B5,0)</f>
        <v>-183614.97919466186</v>
      </c>
      <c r="E22" s="44">
        <f>CUMPRINC('P379-383'!$D3,'P379-383'!$D4,'P379-383'!$B2,E3*'P379-383'!$B5-('P379-383'!$B5-1),E3*'P379-383'!$B5,0)</f>
        <v>-198750.75853803288</v>
      </c>
      <c r="F22" s="44">
        <f>CUMPRINC('P379-383'!$D3,'P379-383'!$D4,'P379-383'!$B2,F3*'P379-383'!$B5-('P379-383'!$B5-1),F3*'P379-383'!$B5,0)</f>
        <v>-215134.21286596137</v>
      </c>
      <c r="G22" s="44">
        <f>CUMPRINC('P379-383'!$D3,'P379-383'!$D4,'P379-383'!$B2,G3*'P379-383'!$B5-('P379-383'!$B5-1),G3*'P379-383'!$B5,0)</f>
        <v>-232868.19072240236</v>
      </c>
    </row>
    <row r="23" spans="1:7" ht="13.5" thickBot="1">
      <c r="A23" s="50"/>
      <c r="B23" s="51"/>
      <c r="C23" s="51"/>
      <c r="D23" s="51"/>
      <c r="E23" s="51"/>
      <c r="F23" s="51"/>
      <c r="G23" s="52"/>
    </row>
    <row r="24" spans="1:7" ht="13.5" thickBot="1">
      <c r="A24" s="53" t="s">
        <v>46</v>
      </c>
      <c r="B24" s="54"/>
      <c r="C24" s="74">
        <f>SUM(C19,C21:C22)</f>
        <v>-76941.87250116162</v>
      </c>
      <c r="D24" s="74">
        <f>SUM(D19,D21:D22)</f>
        <v>413727.12749883835</v>
      </c>
      <c r="E24" s="74">
        <f>SUM(E19,E21:E22)</f>
        <v>1011305.1274988384</v>
      </c>
      <c r="F24" s="74">
        <f>SUM(F19,F21:F22)</f>
        <v>1367295.1274988386</v>
      </c>
      <c r="G24" s="75">
        <f>SUM(G19,G21:G22)</f>
        <v>1481664.1274988384</v>
      </c>
    </row>
    <row r="26" spans="1:7" ht="12.75">
      <c r="A26" s="45" t="s">
        <v>81</v>
      </c>
      <c r="B26" s="45"/>
      <c r="C26" s="76">
        <f>'P379-383'!$B8*'P379-383'!$B5</f>
        <v>244626.87250116156</v>
      </c>
      <c r="D26" s="76">
        <f>'P379-383'!$B8*'P379-383'!$B5</f>
        <v>244626.87250116156</v>
      </c>
      <c r="E26" s="76">
        <f>'P379-383'!$B8*'P379-383'!$B5</f>
        <v>244626.87250116156</v>
      </c>
      <c r="F26" s="76">
        <f>'P379-383'!$B8*'P379-383'!$B5</f>
        <v>244626.87250116156</v>
      </c>
      <c r="G26" s="76">
        <f>'P379-383'!$B8*'P379-383'!$B5</f>
        <v>244626.87250116156</v>
      </c>
    </row>
    <row r="28" ht="12.75">
      <c r="I28" t="s">
        <v>77</v>
      </c>
    </row>
    <row r="29" ht="12.75">
      <c r="I29">
        <v>2</v>
      </c>
    </row>
    <row r="30" spans="1:7" ht="12.75">
      <c r="A30" s="21" t="s">
        <v>75</v>
      </c>
      <c r="B30" s="21"/>
      <c r="C30" s="44">
        <f>DDB(Capital,Salvage,Life,C3,$I29)</f>
        <v>200000</v>
      </c>
      <c r="D30" s="44">
        <f>DDB(Capital,Salvage,Life,D3,$I29)</f>
        <v>160000</v>
      </c>
      <c r="E30" s="44">
        <f>DDB(Capital,Salvage,Life,E3,$I29)</f>
        <v>128000.00000000003</v>
      </c>
      <c r="F30" s="44">
        <f>DDB(Capital,Salvage,Life,F3,$I29)</f>
        <v>102400.00000000003</v>
      </c>
      <c r="G30" s="44">
        <f>DDB(Capital,Salvage,Life,G3,$I29)</f>
        <v>81920.00000000004</v>
      </c>
    </row>
    <row r="31" spans="1:7" ht="12.75">
      <c r="A31" s="21" t="s">
        <v>76</v>
      </c>
      <c r="B31" s="21"/>
      <c r="C31" s="44">
        <f>SYD(Capital,Salvage,Life,C3)</f>
        <v>177272.72727272726</v>
      </c>
      <c r="D31" s="44">
        <f>SYD(Capital,Salvage,Life,D3)</f>
        <v>159545.45454545456</v>
      </c>
      <c r="E31" s="44">
        <f>SYD(Capital,Salvage,Life,E3)</f>
        <v>141818.18181818182</v>
      </c>
      <c r="F31" s="44">
        <f>SYD(Capital,Salvage,Life,F3)</f>
        <v>124090.90909090909</v>
      </c>
      <c r="G31" s="44">
        <f>SYD(Capital,Salvage,Life,G3)</f>
        <v>106363.63636363637</v>
      </c>
    </row>
    <row r="32" spans="1:7" ht="12.75">
      <c r="A32" s="21" t="s">
        <v>79</v>
      </c>
      <c r="B32" s="21"/>
      <c r="C32" s="21"/>
      <c r="D32" s="21"/>
      <c r="E32" s="21"/>
      <c r="F32" s="21"/>
      <c r="G32" s="21"/>
    </row>
    <row r="33" spans="1:7" ht="12.75">
      <c r="A33" s="21" t="s">
        <v>78</v>
      </c>
      <c r="B33" s="21"/>
      <c r="C33" s="21"/>
      <c r="D33" s="21"/>
      <c r="E33" s="21"/>
      <c r="F33" s="21"/>
      <c r="G33" s="21"/>
    </row>
  </sheetData>
  <sheetProtection/>
  <mergeCells count="1">
    <mergeCell ref="A1:G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15"/>
  </sheetPr>
  <dimension ref="A1:J31"/>
  <sheetViews>
    <sheetView zoomScalePageLayoutView="0" workbookViewId="0" topLeftCell="A1">
      <selection activeCell="I12" sqref="I12"/>
    </sheetView>
  </sheetViews>
  <sheetFormatPr defaultColWidth="9.140625" defaultRowHeight="12.75"/>
  <cols>
    <col min="1" max="1" width="23.7109375" style="0" customWidth="1"/>
    <col min="2" max="2" width="11.28125" style="0" customWidth="1"/>
    <col min="3" max="3" width="16.421875" style="0" bestFit="1" customWidth="1"/>
    <col min="4" max="4" width="16.28125" style="0" bestFit="1" customWidth="1"/>
    <col min="6" max="6" width="10.7109375" style="0" bestFit="1" customWidth="1"/>
    <col min="7" max="9" width="11.28125" style="0" bestFit="1" customWidth="1"/>
    <col min="10" max="10" width="14.00390625" style="0" bestFit="1" customWidth="1"/>
  </cols>
  <sheetData>
    <row r="1" spans="1:4" ht="15.75">
      <c r="A1" s="66" t="s">
        <v>47</v>
      </c>
      <c r="B1" s="67"/>
      <c r="C1" s="67"/>
      <c r="D1" s="68"/>
    </row>
    <row r="2" spans="1:4" ht="12.75">
      <c r="A2" s="3" t="s">
        <v>48</v>
      </c>
      <c r="B2" s="44">
        <f>'P356-374'!G3</f>
        <v>1000000</v>
      </c>
      <c r="C2" s="21"/>
      <c r="D2" s="21"/>
    </row>
    <row r="3" spans="1:4" ht="12.75">
      <c r="A3" s="3" t="s">
        <v>3</v>
      </c>
      <c r="B3" s="55">
        <f>'P356-374'!D3</f>
        <v>0.08</v>
      </c>
      <c r="C3" s="21" t="s">
        <v>73</v>
      </c>
      <c r="D3" s="17">
        <f>B3/B5</f>
        <v>0.02</v>
      </c>
    </row>
    <row r="4" spans="1:4" ht="12.75">
      <c r="A4" s="3" t="s">
        <v>49</v>
      </c>
      <c r="B4" s="56">
        <f>'P356-374'!E3</f>
        <v>5</v>
      </c>
      <c r="C4" s="21" t="s">
        <v>74</v>
      </c>
      <c r="D4" s="21">
        <f>B4*B5</f>
        <v>20</v>
      </c>
    </row>
    <row r="5" spans="1:4" ht="12.75">
      <c r="A5" s="3" t="s">
        <v>50</v>
      </c>
      <c r="B5" s="56">
        <f>'P356-374'!C3</f>
        <v>4</v>
      </c>
      <c r="C5" s="21"/>
      <c r="D5" s="21"/>
    </row>
    <row r="6" spans="1:4" ht="12.75">
      <c r="A6" s="3" t="s">
        <v>51</v>
      </c>
      <c r="B6" s="57">
        <v>0</v>
      </c>
      <c r="C6" s="21"/>
      <c r="D6" s="21"/>
    </row>
    <row r="7" spans="1:4" ht="12.75">
      <c r="A7" s="45"/>
      <c r="B7" s="69"/>
      <c r="C7" s="45"/>
      <c r="D7" s="45"/>
    </row>
    <row r="8" spans="1:4" ht="12.75">
      <c r="A8" s="3" t="s">
        <v>52</v>
      </c>
      <c r="B8" s="58">
        <f>PMT(D3,D4,-B2,B6)</f>
        <v>61156.71812529039</v>
      </c>
      <c r="C8" s="21"/>
      <c r="D8" s="21"/>
    </row>
    <row r="9" spans="1:4" ht="12.75">
      <c r="A9" s="45"/>
      <c r="B9" s="45"/>
      <c r="C9" s="45"/>
      <c r="D9" s="45"/>
    </row>
    <row r="10" spans="1:10" ht="25.5">
      <c r="A10" s="72" t="s">
        <v>53</v>
      </c>
      <c r="B10" s="70" t="s">
        <v>54</v>
      </c>
      <c r="C10" s="70" t="s">
        <v>55</v>
      </c>
      <c r="D10" s="70" t="s">
        <v>56</v>
      </c>
      <c r="F10" s="72" t="s">
        <v>53</v>
      </c>
      <c r="G10" s="72" t="s">
        <v>69</v>
      </c>
      <c r="H10" s="70" t="s">
        <v>70</v>
      </c>
      <c r="I10" s="70" t="s">
        <v>71</v>
      </c>
      <c r="J10" s="70" t="s">
        <v>72</v>
      </c>
    </row>
    <row r="11" spans="1:10" ht="12.75">
      <c r="A11" s="21">
        <v>1</v>
      </c>
      <c r="B11" s="73">
        <f>B2</f>
        <v>1000000</v>
      </c>
      <c r="C11" s="18">
        <f>IPMT(D$3,A11,D$4,-B$2,B$6)</f>
        <v>20000</v>
      </c>
      <c r="D11" s="59">
        <f aca="true" t="shared" si="0" ref="D11:D30">PPMT(D$3,A11,D$4,-$B$2,B$6)</f>
        <v>41156.71812529039</v>
      </c>
      <c r="F11" s="21">
        <v>0</v>
      </c>
      <c r="G11" s="21"/>
      <c r="H11" s="21"/>
      <c r="I11" s="21"/>
      <c r="J11" s="49">
        <f>B2</f>
        <v>1000000</v>
      </c>
    </row>
    <row r="12" spans="1:10" ht="12.75">
      <c r="A12" s="21">
        <v>2</v>
      </c>
      <c r="B12" s="17">
        <f>B11-D11</f>
        <v>958843.2818747096</v>
      </c>
      <c r="C12" s="18">
        <f>IPMT(D$3,A12,D$4,-B$2,B$6)</f>
        <v>19176.86563749419</v>
      </c>
      <c r="D12" s="18">
        <f t="shared" si="0"/>
        <v>41979.852487796205</v>
      </c>
      <c r="F12" s="21">
        <v>1</v>
      </c>
      <c r="G12" s="49">
        <f aca="true" t="shared" si="1" ref="G12:G31">B$8</f>
        <v>61156.71812529039</v>
      </c>
      <c r="H12" s="49">
        <f aca="true" t="shared" si="2" ref="H12:H31">J11*D$3</f>
        <v>20000</v>
      </c>
      <c r="I12" s="49">
        <f aca="true" t="shared" si="3" ref="I12:I31">G12-H12</f>
        <v>41156.71812529039</v>
      </c>
      <c r="J12" s="49">
        <f aca="true" t="shared" si="4" ref="J12:J31">J11-I12</f>
        <v>958843.2818747096</v>
      </c>
    </row>
    <row r="13" spans="1:10" ht="12.75">
      <c r="A13" s="21">
        <v>3</v>
      </c>
      <c r="B13" s="17">
        <f aca="true" t="shared" si="5" ref="B13:B30">B12-D12</f>
        <v>916863.4293869134</v>
      </c>
      <c r="C13" s="18">
        <f>IPMT(D$3,A13,D$4,-B$2,B$6)</f>
        <v>18337.26858773827</v>
      </c>
      <c r="D13" s="18">
        <f t="shared" si="0"/>
        <v>42819.44953755212</v>
      </c>
      <c r="F13" s="21">
        <v>2</v>
      </c>
      <c r="G13" s="49">
        <f t="shared" si="1"/>
        <v>61156.71812529039</v>
      </c>
      <c r="H13" s="49">
        <f t="shared" si="2"/>
        <v>19176.865637494193</v>
      </c>
      <c r="I13" s="49">
        <f t="shared" si="3"/>
        <v>41979.8524877962</v>
      </c>
      <c r="J13" s="49">
        <f t="shared" si="4"/>
        <v>916863.4293869134</v>
      </c>
    </row>
    <row r="14" spans="1:10" ht="12.75">
      <c r="A14" s="21">
        <v>4</v>
      </c>
      <c r="B14" s="17">
        <f t="shared" si="5"/>
        <v>874043.9798493613</v>
      </c>
      <c r="C14" s="18">
        <f>IPMT(D$3,A14,D$4,-B$2,B$6)</f>
        <v>17480.87959698723</v>
      </c>
      <c r="D14" s="18">
        <f t="shared" si="0"/>
        <v>43675.83852830316</v>
      </c>
      <c r="F14" s="21">
        <v>3</v>
      </c>
      <c r="G14" s="49">
        <f t="shared" si="1"/>
        <v>61156.71812529039</v>
      </c>
      <c r="H14" s="49">
        <f t="shared" si="2"/>
        <v>18337.26858773827</v>
      </c>
      <c r="I14" s="49">
        <f t="shared" si="3"/>
        <v>42819.44953755212</v>
      </c>
      <c r="J14" s="49">
        <f t="shared" si="4"/>
        <v>874043.9798493613</v>
      </c>
    </row>
    <row r="15" spans="1:10" ht="12.75">
      <c r="A15" s="21">
        <v>5</v>
      </c>
      <c r="B15" s="17">
        <f t="shared" si="5"/>
        <v>830368.1413210582</v>
      </c>
      <c r="C15" s="18">
        <f aca="true" t="shared" si="6" ref="C15:C30">IPMT(D$3,A15,D$4,-B$2,B$6)</f>
        <v>16607.362826421162</v>
      </c>
      <c r="D15" s="18">
        <f t="shared" si="0"/>
        <v>44549.355298869224</v>
      </c>
      <c r="F15" s="21">
        <v>4</v>
      </c>
      <c r="G15" s="49">
        <f t="shared" si="1"/>
        <v>61156.71812529039</v>
      </c>
      <c r="H15" s="49">
        <f t="shared" si="2"/>
        <v>17480.879596987226</v>
      </c>
      <c r="I15" s="49">
        <f t="shared" si="3"/>
        <v>43675.83852830317</v>
      </c>
      <c r="J15" s="49">
        <f t="shared" si="4"/>
        <v>830368.1413210582</v>
      </c>
    </row>
    <row r="16" spans="1:10" ht="12.75">
      <c r="A16" s="21">
        <v>6</v>
      </c>
      <c r="B16" s="17">
        <f t="shared" si="5"/>
        <v>785818.786022189</v>
      </c>
      <c r="C16" s="18">
        <f t="shared" si="6"/>
        <v>15716.375720443777</v>
      </c>
      <c r="D16" s="18">
        <f t="shared" si="0"/>
        <v>45440.34240484661</v>
      </c>
      <c r="F16" s="21">
        <v>5</v>
      </c>
      <c r="G16" s="49">
        <f t="shared" si="1"/>
        <v>61156.71812529039</v>
      </c>
      <c r="H16" s="49">
        <f t="shared" si="2"/>
        <v>16607.362826421162</v>
      </c>
      <c r="I16" s="49">
        <f t="shared" si="3"/>
        <v>44549.355298869224</v>
      </c>
      <c r="J16" s="49">
        <f t="shared" si="4"/>
        <v>785818.786022189</v>
      </c>
    </row>
    <row r="17" spans="1:10" ht="12.75">
      <c r="A17" s="21">
        <v>7</v>
      </c>
      <c r="B17" s="17">
        <f t="shared" si="5"/>
        <v>740378.4436173424</v>
      </c>
      <c r="C17" s="18">
        <f t="shared" si="6"/>
        <v>14807.568872346847</v>
      </c>
      <c r="D17" s="18">
        <f t="shared" si="0"/>
        <v>46349.14925294354</v>
      </c>
      <c r="F17" s="21">
        <v>6</v>
      </c>
      <c r="G17" s="49">
        <f t="shared" si="1"/>
        <v>61156.71812529039</v>
      </c>
      <c r="H17" s="49">
        <f t="shared" si="2"/>
        <v>15716.375720443779</v>
      </c>
      <c r="I17" s="49">
        <f t="shared" si="3"/>
        <v>45440.34240484661</v>
      </c>
      <c r="J17" s="49">
        <f t="shared" si="4"/>
        <v>740378.4436173424</v>
      </c>
    </row>
    <row r="18" spans="1:10" ht="12.75">
      <c r="A18" s="21">
        <v>8</v>
      </c>
      <c r="B18" s="17">
        <f t="shared" si="5"/>
        <v>694029.2943643988</v>
      </c>
      <c r="C18" s="18">
        <f t="shared" si="6"/>
        <v>13880.585887287982</v>
      </c>
      <c r="D18" s="18">
        <f t="shared" si="0"/>
        <v>47276.13223800241</v>
      </c>
      <c r="F18" s="21">
        <v>7</v>
      </c>
      <c r="G18" s="49">
        <f t="shared" si="1"/>
        <v>61156.71812529039</v>
      </c>
      <c r="H18" s="49">
        <f t="shared" si="2"/>
        <v>14807.568872346848</v>
      </c>
      <c r="I18" s="49">
        <f t="shared" si="3"/>
        <v>46349.14925294354</v>
      </c>
      <c r="J18" s="49">
        <f t="shared" si="4"/>
        <v>694029.2943643988</v>
      </c>
    </row>
    <row r="19" spans="1:10" ht="12.75">
      <c r="A19" s="21">
        <v>9</v>
      </c>
      <c r="B19" s="17">
        <f t="shared" si="5"/>
        <v>646753.1621263964</v>
      </c>
      <c r="C19" s="18">
        <f t="shared" si="6"/>
        <v>12935.06324252793</v>
      </c>
      <c r="D19" s="18">
        <f t="shared" si="0"/>
        <v>48221.654882762465</v>
      </c>
      <c r="F19" s="21">
        <v>8</v>
      </c>
      <c r="G19" s="49">
        <f t="shared" si="1"/>
        <v>61156.71812529039</v>
      </c>
      <c r="H19" s="49">
        <f t="shared" si="2"/>
        <v>13880.585887287976</v>
      </c>
      <c r="I19" s="49">
        <f t="shared" si="3"/>
        <v>47276.132238002414</v>
      </c>
      <c r="J19" s="49">
        <f t="shared" si="4"/>
        <v>646753.1621263964</v>
      </c>
    </row>
    <row r="20" spans="1:10" ht="12.75">
      <c r="A20" s="21">
        <v>10</v>
      </c>
      <c r="B20" s="17">
        <f t="shared" si="5"/>
        <v>598531.507243634</v>
      </c>
      <c r="C20" s="18">
        <f t="shared" si="6"/>
        <v>11970.630144872683</v>
      </c>
      <c r="D20" s="18">
        <f t="shared" si="0"/>
        <v>49186.08798041771</v>
      </c>
      <c r="F20" s="21">
        <v>9</v>
      </c>
      <c r="G20" s="49">
        <f t="shared" si="1"/>
        <v>61156.71812529039</v>
      </c>
      <c r="H20" s="49">
        <f t="shared" si="2"/>
        <v>12935.06324252793</v>
      </c>
      <c r="I20" s="49">
        <f t="shared" si="3"/>
        <v>48221.654882762465</v>
      </c>
      <c r="J20" s="49">
        <f t="shared" si="4"/>
        <v>598531.507243634</v>
      </c>
    </row>
    <row r="21" spans="1:10" ht="12.75">
      <c r="A21" s="21">
        <v>11</v>
      </c>
      <c r="B21" s="17">
        <f t="shared" si="5"/>
        <v>549345.4192632162</v>
      </c>
      <c r="C21" s="18">
        <f t="shared" si="6"/>
        <v>10986.908385264323</v>
      </c>
      <c r="D21" s="18">
        <f t="shared" si="0"/>
        <v>50169.80974002607</v>
      </c>
      <c r="F21" s="21">
        <v>10</v>
      </c>
      <c r="G21" s="49">
        <f t="shared" si="1"/>
        <v>61156.71812529039</v>
      </c>
      <c r="H21" s="49">
        <f t="shared" si="2"/>
        <v>11970.630144872679</v>
      </c>
      <c r="I21" s="49">
        <f t="shared" si="3"/>
        <v>49186.08798041771</v>
      </c>
      <c r="J21" s="49">
        <f t="shared" si="4"/>
        <v>549345.4192632162</v>
      </c>
    </row>
    <row r="22" spans="1:10" ht="12.75">
      <c r="A22" s="21">
        <v>12</v>
      </c>
      <c r="B22" s="17">
        <f t="shared" si="5"/>
        <v>499175.6095231901</v>
      </c>
      <c r="C22" s="18">
        <f t="shared" si="6"/>
        <v>9983.512190463813</v>
      </c>
      <c r="D22" s="18">
        <f t="shared" si="0"/>
        <v>51173.205934826576</v>
      </c>
      <c r="F22" s="21">
        <v>11</v>
      </c>
      <c r="G22" s="49">
        <f t="shared" si="1"/>
        <v>61156.71812529039</v>
      </c>
      <c r="H22" s="49">
        <f t="shared" si="2"/>
        <v>10986.908385264323</v>
      </c>
      <c r="I22" s="49">
        <f t="shared" si="3"/>
        <v>50169.80974002607</v>
      </c>
      <c r="J22" s="49">
        <f t="shared" si="4"/>
        <v>499175.6095231901</v>
      </c>
    </row>
    <row r="23" spans="1:10" ht="12.75">
      <c r="A23" s="21">
        <v>13</v>
      </c>
      <c r="B23" s="17">
        <f t="shared" si="5"/>
        <v>448002.40358836355</v>
      </c>
      <c r="C23" s="18">
        <f t="shared" si="6"/>
        <v>8960.048071767274</v>
      </c>
      <c r="D23" s="18">
        <f t="shared" si="0"/>
        <v>52196.670053523114</v>
      </c>
      <c r="F23" s="21">
        <v>12</v>
      </c>
      <c r="G23" s="49">
        <f t="shared" si="1"/>
        <v>61156.71812529039</v>
      </c>
      <c r="H23" s="49">
        <f t="shared" si="2"/>
        <v>9983.512190463804</v>
      </c>
      <c r="I23" s="49">
        <f t="shared" si="3"/>
        <v>51173.20593482659</v>
      </c>
      <c r="J23" s="49">
        <f t="shared" si="4"/>
        <v>448002.40358836355</v>
      </c>
    </row>
    <row r="24" spans="1:10" ht="12.75">
      <c r="A24" s="21">
        <v>14</v>
      </c>
      <c r="B24" s="17">
        <f t="shared" si="5"/>
        <v>395805.73353484046</v>
      </c>
      <c r="C24" s="18">
        <f t="shared" si="6"/>
        <v>7916.114670696813</v>
      </c>
      <c r="D24" s="18">
        <f t="shared" si="0"/>
        <v>53240.603454593576</v>
      </c>
      <c r="F24" s="21">
        <v>13</v>
      </c>
      <c r="G24" s="49">
        <f t="shared" si="1"/>
        <v>61156.71812529039</v>
      </c>
      <c r="H24" s="49">
        <f t="shared" si="2"/>
        <v>8960.04807176727</v>
      </c>
      <c r="I24" s="49">
        <f t="shared" si="3"/>
        <v>52196.67005352312</v>
      </c>
      <c r="J24" s="49">
        <f t="shared" si="4"/>
        <v>395805.7335348404</v>
      </c>
    </row>
    <row r="25" spans="1:10" ht="12.75">
      <c r="A25" s="21">
        <v>15</v>
      </c>
      <c r="B25" s="17">
        <f t="shared" si="5"/>
        <v>342565.1300802469</v>
      </c>
      <c r="C25" s="18">
        <f t="shared" si="6"/>
        <v>6851.302601604939</v>
      </c>
      <c r="D25" s="18">
        <f t="shared" si="0"/>
        <v>54305.41552368545</v>
      </c>
      <c r="F25" s="21">
        <v>14</v>
      </c>
      <c r="G25" s="49">
        <f t="shared" si="1"/>
        <v>61156.71812529039</v>
      </c>
      <c r="H25" s="49">
        <f t="shared" si="2"/>
        <v>7916.114670696808</v>
      </c>
      <c r="I25" s="49">
        <f t="shared" si="3"/>
        <v>53240.60345459358</v>
      </c>
      <c r="J25" s="49">
        <f t="shared" si="4"/>
        <v>342565.13008024683</v>
      </c>
    </row>
    <row r="26" spans="1:10" ht="12.75">
      <c r="A26" s="21">
        <v>16</v>
      </c>
      <c r="B26" s="17">
        <f t="shared" si="5"/>
        <v>288259.71455656143</v>
      </c>
      <c r="C26" s="18">
        <f t="shared" si="6"/>
        <v>5765.194291131241</v>
      </c>
      <c r="D26" s="18">
        <f t="shared" si="0"/>
        <v>55391.52383415915</v>
      </c>
      <c r="F26" s="21">
        <v>15</v>
      </c>
      <c r="G26" s="49">
        <f t="shared" si="1"/>
        <v>61156.71812529039</v>
      </c>
      <c r="H26" s="49">
        <f t="shared" si="2"/>
        <v>6851.302601604937</v>
      </c>
      <c r="I26" s="49">
        <f t="shared" si="3"/>
        <v>54305.41552368546</v>
      </c>
      <c r="J26" s="49">
        <f t="shared" si="4"/>
        <v>288259.7145565614</v>
      </c>
    </row>
    <row r="27" spans="1:10" ht="12.75">
      <c r="A27" s="21">
        <v>17</v>
      </c>
      <c r="B27" s="17">
        <f t="shared" si="5"/>
        <v>232868.1907224023</v>
      </c>
      <c r="C27" s="18">
        <f t="shared" si="6"/>
        <v>4657.363814448048</v>
      </c>
      <c r="D27" s="18">
        <f t="shared" si="0"/>
        <v>56499.35431084234</v>
      </c>
      <c r="F27" s="21">
        <v>16</v>
      </c>
      <c r="G27" s="49">
        <f t="shared" si="1"/>
        <v>61156.71812529039</v>
      </c>
      <c r="H27" s="49">
        <f t="shared" si="2"/>
        <v>5765.194291131228</v>
      </c>
      <c r="I27" s="49">
        <f t="shared" si="3"/>
        <v>55391.52383415916</v>
      </c>
      <c r="J27" s="49">
        <f t="shared" si="4"/>
        <v>232868.1907224022</v>
      </c>
    </row>
    <row r="28" spans="1:10" ht="12.75">
      <c r="A28" s="21">
        <v>18</v>
      </c>
      <c r="B28" s="17">
        <f t="shared" si="5"/>
        <v>176368.83641155995</v>
      </c>
      <c r="C28" s="18">
        <f t="shared" si="6"/>
        <v>3527.376728231199</v>
      </c>
      <c r="D28" s="18">
        <f t="shared" si="0"/>
        <v>57629.341397059194</v>
      </c>
      <c r="F28" s="21">
        <v>17</v>
      </c>
      <c r="G28" s="49">
        <f t="shared" si="1"/>
        <v>61156.71812529039</v>
      </c>
      <c r="H28" s="49">
        <f t="shared" si="2"/>
        <v>4657.363814448045</v>
      </c>
      <c r="I28" s="49">
        <f t="shared" si="3"/>
        <v>56499.35431084235</v>
      </c>
      <c r="J28" s="49">
        <f t="shared" si="4"/>
        <v>176368.83641155987</v>
      </c>
    </row>
    <row r="29" spans="1:10" ht="12.75">
      <c r="A29" s="21">
        <v>19</v>
      </c>
      <c r="B29" s="17">
        <f t="shared" si="5"/>
        <v>118739.49501450076</v>
      </c>
      <c r="C29" s="18">
        <f t="shared" si="6"/>
        <v>2374.7899002900253</v>
      </c>
      <c r="D29" s="18">
        <f t="shared" si="0"/>
        <v>58781.92822500037</v>
      </c>
      <c r="F29" s="21">
        <v>18</v>
      </c>
      <c r="G29" s="49">
        <f t="shared" si="1"/>
        <v>61156.71812529039</v>
      </c>
      <c r="H29" s="49">
        <f t="shared" si="2"/>
        <v>3527.3767282311974</v>
      </c>
      <c r="I29" s="49">
        <f t="shared" si="3"/>
        <v>57629.341397059194</v>
      </c>
      <c r="J29" s="49">
        <f t="shared" si="4"/>
        <v>118739.49501450067</v>
      </c>
    </row>
    <row r="30" spans="1:10" ht="12.75">
      <c r="A30" s="21">
        <v>20</v>
      </c>
      <c r="B30" s="17">
        <f t="shared" si="5"/>
        <v>59957.56678950039</v>
      </c>
      <c r="C30" s="18">
        <f t="shared" si="6"/>
        <v>1199.1513357900176</v>
      </c>
      <c r="D30" s="18">
        <f t="shared" si="0"/>
        <v>59957.56678950037</v>
      </c>
      <c r="F30" s="21">
        <v>19</v>
      </c>
      <c r="G30" s="49">
        <f t="shared" si="1"/>
        <v>61156.71812529039</v>
      </c>
      <c r="H30" s="49">
        <f t="shared" si="2"/>
        <v>2374.7899002900135</v>
      </c>
      <c r="I30" s="49">
        <f t="shared" si="3"/>
        <v>58781.928225000374</v>
      </c>
      <c r="J30" s="49">
        <f t="shared" si="4"/>
        <v>59957.5667895003</v>
      </c>
    </row>
    <row r="31" spans="1:10" ht="12.75">
      <c r="A31" s="3" t="s">
        <v>57</v>
      </c>
      <c r="B31" s="60"/>
      <c r="C31" s="21"/>
      <c r="D31" s="21"/>
      <c r="F31" s="21">
        <v>20</v>
      </c>
      <c r="G31" s="49">
        <f t="shared" si="1"/>
        <v>61156.71812529039</v>
      </c>
      <c r="H31" s="49">
        <f t="shared" si="2"/>
        <v>1199.151335790006</v>
      </c>
      <c r="I31" s="49">
        <f t="shared" si="3"/>
        <v>59957.566789500386</v>
      </c>
      <c r="J31" s="49">
        <f t="shared" si="4"/>
        <v>-8.731149137020111E-11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B7"/>
  <sheetViews>
    <sheetView zoomScalePageLayoutView="0" workbookViewId="0" topLeftCell="A1">
      <selection activeCell="A3" sqref="A3:B5"/>
    </sheetView>
  </sheetViews>
  <sheetFormatPr defaultColWidth="9.140625" defaultRowHeight="12.75"/>
  <cols>
    <col min="1" max="1" width="19.00390625" style="0" bestFit="1" customWidth="1"/>
    <col min="2" max="2" width="11.28125" style="0" bestFit="1" customWidth="1"/>
  </cols>
  <sheetData>
    <row r="1" spans="1:2" ht="15.75">
      <c r="A1" s="176" t="s">
        <v>58</v>
      </c>
      <c r="B1" s="176"/>
    </row>
    <row r="2" spans="1:2" ht="12.75">
      <c r="A2" s="61"/>
      <c r="B2" s="62"/>
    </row>
    <row r="3" spans="1:2" ht="12.75">
      <c r="A3" s="61" t="s">
        <v>59</v>
      </c>
      <c r="B3" s="63">
        <v>1000000</v>
      </c>
    </row>
    <row r="4" spans="1:2" ht="12.75">
      <c r="A4" s="61" t="s">
        <v>60</v>
      </c>
      <c r="B4" s="63">
        <v>25000</v>
      </c>
    </row>
    <row r="5" spans="1:2" ht="12.75">
      <c r="A5" s="61" t="s">
        <v>61</v>
      </c>
      <c r="B5" s="64">
        <v>10</v>
      </c>
    </row>
    <row r="6" ht="12.75">
      <c r="B6" s="65"/>
    </row>
    <row r="7" ht="12.75">
      <c r="B7" s="65"/>
    </row>
  </sheetData>
  <sheetProtection/>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26"/>
  </sheetPr>
  <dimension ref="A1:G85"/>
  <sheetViews>
    <sheetView zoomScale="70" zoomScaleNormal="70" zoomScalePageLayoutView="0" workbookViewId="0" topLeftCell="A1">
      <selection activeCell="F40" sqref="F40"/>
    </sheetView>
  </sheetViews>
  <sheetFormatPr defaultColWidth="9.140625" defaultRowHeight="12.75"/>
  <cols>
    <col min="1" max="1" width="48.28125" style="0" bestFit="1" customWidth="1"/>
    <col min="2" max="4" width="12.8515625" style="0" bestFit="1" customWidth="1"/>
    <col min="5" max="5" width="13.421875" style="0" bestFit="1" customWidth="1"/>
    <col min="6" max="6" width="12.8515625" style="0" bestFit="1" customWidth="1"/>
  </cols>
  <sheetData>
    <row r="1" spans="1:6" ht="15.75">
      <c r="A1" s="78" t="s">
        <v>91</v>
      </c>
      <c r="B1" s="78"/>
      <c r="C1" s="78"/>
      <c r="D1" s="78"/>
      <c r="E1" s="78"/>
      <c r="F1" s="78"/>
    </row>
    <row r="2" spans="1:6" ht="12.75">
      <c r="A2" s="77" t="s">
        <v>82</v>
      </c>
      <c r="B2" s="77"/>
      <c r="C2" s="77">
        <v>1</v>
      </c>
      <c r="D2" s="77">
        <v>2</v>
      </c>
      <c r="E2" s="77">
        <v>3</v>
      </c>
      <c r="F2" s="77">
        <v>4</v>
      </c>
    </row>
    <row r="3" spans="1:6" ht="12.75">
      <c r="A3" s="21" t="s">
        <v>83</v>
      </c>
      <c r="B3" s="21"/>
      <c r="C3" s="21">
        <f>B25</f>
        <v>160000</v>
      </c>
      <c r="D3" s="21">
        <f>C3*(1+$B26)</f>
        <v>168000</v>
      </c>
      <c r="E3" s="21">
        <f>D3*(1+$B26)</f>
        <v>176400</v>
      </c>
      <c r="F3" s="21">
        <f>E3*(1+$B26)</f>
        <v>185220</v>
      </c>
    </row>
    <row r="4" spans="1:6" ht="12.75">
      <c r="A4" s="21" t="s">
        <v>84</v>
      </c>
      <c r="B4" s="21"/>
      <c r="C4" s="17">
        <f>$B24</f>
        <v>8.5</v>
      </c>
      <c r="D4" s="17">
        <f>$B24</f>
        <v>8.5</v>
      </c>
      <c r="E4" s="17">
        <f>$B24</f>
        <v>8.5</v>
      </c>
      <c r="F4" s="17">
        <f>$B24</f>
        <v>8.5</v>
      </c>
    </row>
    <row r="5" spans="1:6" ht="12.75">
      <c r="A5" s="21"/>
      <c r="B5" s="21"/>
      <c r="C5" s="21"/>
      <c r="D5" s="21"/>
      <c r="E5" s="21"/>
      <c r="F5" s="21"/>
    </row>
    <row r="6" spans="1:7" ht="12.75">
      <c r="A6" s="21" t="s">
        <v>85</v>
      </c>
      <c r="B6" s="21"/>
      <c r="C6" s="17">
        <f>C4*C3</f>
        <v>1360000</v>
      </c>
      <c r="D6" s="17">
        <f>D4*D3</f>
        <v>1428000</v>
      </c>
      <c r="E6" s="17">
        <f>E4*E3</f>
        <v>1499400</v>
      </c>
      <c r="F6" s="17">
        <f>F4*F3</f>
        <v>1574370</v>
      </c>
      <c r="G6" t="s">
        <v>104</v>
      </c>
    </row>
    <row r="7" spans="1:6" ht="12.75">
      <c r="A7" s="77"/>
      <c r="B7" s="77"/>
      <c r="C7" s="77"/>
      <c r="D7" s="77"/>
      <c r="E7" s="77"/>
      <c r="F7" s="77"/>
    </row>
    <row r="8" spans="1:7" ht="12.75">
      <c r="A8" s="21" t="s">
        <v>62</v>
      </c>
      <c r="B8" s="21"/>
      <c r="C8" s="17">
        <f>CUMIPMT($B29,$B31,$B21,C2*$B28-($B28-1),C2*$B28,0)</f>
        <v>-65767.57270981453</v>
      </c>
      <c r="D8" s="17">
        <f>CUMIPMT($B29,$B31,$B21,D2*$B28-($B28-1),D2*$B28,0)</f>
        <v>-48235.243780263474</v>
      </c>
      <c r="E8" s="17">
        <f>CUMIPMT($B29,$B31,$B21,E2*$B28-($B28-1),E2*$B28,0)</f>
        <v>-29897.482727134768</v>
      </c>
      <c r="F8" s="17">
        <f>CUMIPMT($B29,$B31,$B21,F2*$B28-($B28-1),F2*$B28,0)</f>
        <v>-10717.288139589178</v>
      </c>
      <c r="G8" t="s">
        <v>105</v>
      </c>
    </row>
    <row r="9" spans="1:7" ht="12.75">
      <c r="A9" s="21" t="s">
        <v>63</v>
      </c>
      <c r="B9" s="21"/>
      <c r="C9" s="17">
        <f>-SLN($B21,$B22,$B23)</f>
        <v>-156000</v>
      </c>
      <c r="D9" s="17">
        <f>-SLN($B21,$B22,$B23)</f>
        <v>-156000</v>
      </c>
      <c r="E9" s="17">
        <f>-SLN($B21,$B22,$B23)</f>
        <v>-156000</v>
      </c>
      <c r="F9" s="17">
        <f>-SLN($B21,$B22,$B23)</f>
        <v>-156000</v>
      </c>
      <c r="G9" t="s">
        <v>105</v>
      </c>
    </row>
    <row r="10" spans="1:6" ht="12.75">
      <c r="A10" s="21" t="s">
        <v>86</v>
      </c>
      <c r="B10" s="21"/>
      <c r="C10" s="17">
        <f>SUM(C6:C9)</f>
        <v>1138232.4272901854</v>
      </c>
      <c r="D10" s="17">
        <f>SUM(D6:D9)</f>
        <v>1223764.7562197365</v>
      </c>
      <c r="E10" s="17">
        <f>SUM(E6:E9)</f>
        <v>1313502.5172728652</v>
      </c>
      <c r="F10" s="17">
        <f>SUM(F6:F9)</f>
        <v>1407652.7118604109</v>
      </c>
    </row>
    <row r="11" spans="1:6" ht="12.75">
      <c r="A11" s="43"/>
      <c r="B11" s="43"/>
      <c r="C11" s="17"/>
      <c r="D11" s="17"/>
      <c r="E11" s="17"/>
      <c r="F11" s="17"/>
    </row>
    <row r="12" spans="1:6" ht="12.75">
      <c r="A12" s="21" t="s">
        <v>87</v>
      </c>
      <c r="B12" s="21"/>
      <c r="C12" s="17">
        <f>-ROUND(C10*$B33,0)</f>
        <v>-398381</v>
      </c>
      <c r="D12" s="17">
        <f>-ROUND(D10*$B33,0)</f>
        <v>-428318</v>
      </c>
      <c r="E12" s="17">
        <f>-ROUND(E10*$B33,0)</f>
        <v>-459726</v>
      </c>
      <c r="F12" s="17">
        <f>-ROUND(F10*$B33,0)</f>
        <v>-492678</v>
      </c>
    </row>
    <row r="13" spans="1:6" ht="12.75">
      <c r="A13" s="21" t="s">
        <v>88</v>
      </c>
      <c r="B13" s="21"/>
      <c r="C13" s="17">
        <f>SUM(C12,C10)</f>
        <v>739851.4272901854</v>
      </c>
      <c r="D13" s="17">
        <f>SUM(D12,D10)</f>
        <v>795446.7562197365</v>
      </c>
      <c r="E13" s="17">
        <f>SUM(E12,E10)</f>
        <v>853776.5172728652</v>
      </c>
      <c r="F13" s="17">
        <f>SUM(F12,F10)</f>
        <v>914974.7118604109</v>
      </c>
    </row>
    <row r="14" spans="1:6" ht="12.75">
      <c r="A14" s="43"/>
      <c r="B14" s="43"/>
      <c r="C14" s="17"/>
      <c r="D14" s="17"/>
      <c r="E14" s="17"/>
      <c r="F14" s="17"/>
    </row>
    <row r="15" spans="1:6" ht="12.75">
      <c r="A15" s="43" t="s">
        <v>67</v>
      </c>
      <c r="B15" s="43"/>
      <c r="C15" s="17">
        <f>-C9</f>
        <v>156000</v>
      </c>
      <c r="D15" s="17">
        <f>-D9</f>
        <v>156000</v>
      </c>
      <c r="E15" s="17">
        <f>-E9</f>
        <v>156000</v>
      </c>
      <c r="F15" s="17">
        <f>-F9</f>
        <v>156000</v>
      </c>
    </row>
    <row r="16" spans="1:6" ht="12.75">
      <c r="A16" s="43" t="s">
        <v>68</v>
      </c>
      <c r="B16" s="43"/>
      <c r="C16" s="17">
        <f>CUMPRINC($B29,$B31,$B21,C2*$B28-($B28-1),C2*$B28,0)</f>
        <v>-381636.82412939525</v>
      </c>
      <c r="D16" s="17">
        <f>CUMPRINC($B29,$B31,$B21,D2*$B28-($B28-1),D2*$B28,0)</f>
        <v>-399169.1530589463</v>
      </c>
      <c r="E16" s="17">
        <f>CUMPRINC($B29,$B31,$B21,E2*$B28-($B28-1),E2*$B28,0)</f>
        <v>-417506.914112075</v>
      </c>
      <c r="F16" s="17">
        <f>CUMPRINC($B29,$B31,$B21,F2*$B28-($B28-1),F2*$B28,0)</f>
        <v>-436687.10869962064</v>
      </c>
    </row>
    <row r="17" spans="1:6" ht="12.75">
      <c r="A17" s="43"/>
      <c r="B17" s="43"/>
      <c r="C17" s="17"/>
      <c r="D17" s="17"/>
      <c r="E17" s="17"/>
      <c r="F17" s="17"/>
    </row>
    <row r="18" spans="1:6" ht="12.75">
      <c r="A18" s="77" t="s">
        <v>89</v>
      </c>
      <c r="B18" s="77"/>
      <c r="C18" s="84">
        <f>SUM(C13,C15:C16)</f>
        <v>514214.6031607901</v>
      </c>
      <c r="D18" s="84">
        <f>SUM(D13,D15:D16)</f>
        <v>552277.6031607902</v>
      </c>
      <c r="E18" s="84">
        <f>SUM(E13,E15:E16)</f>
        <v>592269.6031607902</v>
      </c>
      <c r="F18" s="84">
        <f>SUM(F13,F15:F16)</f>
        <v>634287.6031607902</v>
      </c>
    </row>
    <row r="20" spans="1:2" ht="12.75">
      <c r="A20" s="80" t="s">
        <v>106</v>
      </c>
      <c r="B20" s="80"/>
    </row>
    <row r="21" spans="1:2" ht="12.75">
      <c r="A21" s="21" t="s">
        <v>101</v>
      </c>
      <c r="B21" s="81">
        <v>1635000</v>
      </c>
    </row>
    <row r="22" spans="1:2" ht="12.75">
      <c r="A22" s="21" t="s">
        <v>102</v>
      </c>
      <c r="B22" s="81">
        <v>75000</v>
      </c>
    </row>
    <row r="23" spans="1:2" ht="12.75">
      <c r="A23" s="21" t="s">
        <v>103</v>
      </c>
      <c r="B23" s="81">
        <v>10</v>
      </c>
    </row>
    <row r="24" spans="1:2" ht="12.75">
      <c r="A24" s="21" t="s">
        <v>90</v>
      </c>
      <c r="B24" s="81">
        <v>8.5</v>
      </c>
    </row>
    <row r="25" spans="1:2" ht="12.75">
      <c r="A25" s="21" t="s">
        <v>92</v>
      </c>
      <c r="B25" s="21">
        <v>160000</v>
      </c>
    </row>
    <row r="26" spans="1:2" ht="12.75">
      <c r="A26" s="21" t="s">
        <v>93</v>
      </c>
      <c r="B26" s="82">
        <v>0.05</v>
      </c>
    </row>
    <row r="27" spans="1:2" ht="12.75">
      <c r="A27" s="21" t="s">
        <v>96</v>
      </c>
      <c r="B27" s="83">
        <v>0.045</v>
      </c>
    </row>
    <row r="28" spans="1:2" ht="12.75">
      <c r="A28" s="21" t="s">
        <v>97</v>
      </c>
      <c r="B28" s="21">
        <v>12</v>
      </c>
    </row>
    <row r="29" spans="1:2" ht="12.75">
      <c r="A29" s="21" t="s">
        <v>73</v>
      </c>
      <c r="B29" s="21">
        <f>B27/B28</f>
        <v>0.00375</v>
      </c>
    </row>
    <row r="30" spans="1:2" ht="12.75">
      <c r="A30" s="21" t="s">
        <v>100</v>
      </c>
      <c r="B30" s="21">
        <v>4</v>
      </c>
    </row>
    <row r="31" spans="1:2" ht="12.75">
      <c r="A31" s="21" t="s">
        <v>99</v>
      </c>
      <c r="B31" s="21">
        <f>B30*B28</f>
        <v>48</v>
      </c>
    </row>
    <row r="32" spans="1:2" ht="12.75">
      <c r="A32" s="21" t="s">
        <v>98</v>
      </c>
      <c r="B32" s="18">
        <f>PMT(B29,B31,B21)</f>
        <v>-37283.69973660083</v>
      </c>
    </row>
    <row r="33" spans="1:2" ht="12.75">
      <c r="A33" s="21" t="s">
        <v>80</v>
      </c>
      <c r="B33" s="21">
        <v>0.35</v>
      </c>
    </row>
    <row r="35" spans="1:5" ht="12.75">
      <c r="A35" s="79" t="s">
        <v>94</v>
      </c>
      <c r="B35" s="79"/>
      <c r="C35" s="79"/>
      <c r="D35" s="79"/>
      <c r="E35" s="79"/>
    </row>
    <row r="36" spans="1:5" ht="12.75">
      <c r="A36" s="71" t="s">
        <v>53</v>
      </c>
      <c r="B36" s="71" t="s">
        <v>69</v>
      </c>
      <c r="C36" s="71" t="s">
        <v>70</v>
      </c>
      <c r="D36" s="71" t="s">
        <v>95</v>
      </c>
      <c r="E36" s="71" t="s">
        <v>72</v>
      </c>
    </row>
    <row r="37" spans="1:5" ht="12.75">
      <c r="A37" s="21">
        <v>0</v>
      </c>
      <c r="B37" s="21"/>
      <c r="C37" s="21"/>
      <c r="D37" s="21"/>
      <c r="E37" s="18">
        <f>B21</f>
        <v>1635000</v>
      </c>
    </row>
    <row r="38" spans="1:5" ht="12.75">
      <c r="A38" s="21">
        <f>IF(A37+1&lt;=B$31,A37+1,"")</f>
        <v>1</v>
      </c>
      <c r="B38" s="18">
        <f>-B$32</f>
        <v>37283.69973660083</v>
      </c>
      <c r="C38" s="21">
        <f>E37*B$29</f>
        <v>6131.25</v>
      </c>
      <c r="D38" s="18">
        <f>B38-C38</f>
        <v>31152.44973660083</v>
      </c>
      <c r="E38" s="18">
        <f>E37-D38</f>
        <v>1603847.5502633993</v>
      </c>
    </row>
    <row r="39" spans="1:5" ht="12.75">
      <c r="A39" s="21">
        <f aca="true" t="shared" si="0" ref="A39:A85">IF(A38+1&lt;=B$31,A38+1,"")</f>
        <v>2</v>
      </c>
      <c r="B39" s="18">
        <f aca="true" t="shared" si="1" ref="B39:B85">-B$32</f>
        <v>37283.69973660083</v>
      </c>
      <c r="C39" s="21">
        <f aca="true" t="shared" si="2" ref="C39:C85">E38*B$29</f>
        <v>6014.428313487747</v>
      </c>
      <c r="D39" s="18">
        <f aca="true" t="shared" si="3" ref="D39:D85">B39-C39</f>
        <v>31269.27142311308</v>
      </c>
      <c r="E39" s="18">
        <f aca="true" t="shared" si="4" ref="E39:E85">E38-D39</f>
        <v>1572578.2788402862</v>
      </c>
    </row>
    <row r="40" spans="1:5" ht="12.75">
      <c r="A40" s="21">
        <f t="shared" si="0"/>
        <v>3</v>
      </c>
      <c r="B40" s="18">
        <f t="shared" si="1"/>
        <v>37283.69973660083</v>
      </c>
      <c r="C40" s="21">
        <f t="shared" si="2"/>
        <v>5897.168545651073</v>
      </c>
      <c r="D40" s="18">
        <f t="shared" si="3"/>
        <v>31386.531190949754</v>
      </c>
      <c r="E40" s="18">
        <f t="shared" si="4"/>
        <v>1541191.7476493365</v>
      </c>
    </row>
    <row r="41" spans="1:5" ht="12.75">
      <c r="A41" s="21">
        <f t="shared" si="0"/>
        <v>4</v>
      </c>
      <c r="B41" s="18">
        <f t="shared" si="1"/>
        <v>37283.69973660083</v>
      </c>
      <c r="C41" s="21">
        <f t="shared" si="2"/>
        <v>5779.469053685011</v>
      </c>
      <c r="D41" s="18">
        <f t="shared" si="3"/>
        <v>31504.23068291582</v>
      </c>
      <c r="E41" s="18">
        <f t="shared" si="4"/>
        <v>1509687.5169664207</v>
      </c>
    </row>
    <row r="42" spans="1:5" ht="12.75">
      <c r="A42" s="21">
        <f t="shared" si="0"/>
        <v>5</v>
      </c>
      <c r="B42" s="18">
        <f t="shared" si="1"/>
        <v>37283.69973660083</v>
      </c>
      <c r="C42" s="21">
        <f t="shared" si="2"/>
        <v>5661.3281886240775</v>
      </c>
      <c r="D42" s="18">
        <f t="shared" si="3"/>
        <v>31622.371547976752</v>
      </c>
      <c r="E42" s="18">
        <f t="shared" si="4"/>
        <v>1478065.145418444</v>
      </c>
    </row>
    <row r="43" spans="1:5" ht="12.75">
      <c r="A43" s="21">
        <f t="shared" si="0"/>
        <v>6</v>
      </c>
      <c r="B43" s="18">
        <f t="shared" si="1"/>
        <v>37283.69973660083</v>
      </c>
      <c r="C43" s="21">
        <f t="shared" si="2"/>
        <v>5542.744295319165</v>
      </c>
      <c r="D43" s="18">
        <f t="shared" si="3"/>
        <v>31740.955441281665</v>
      </c>
      <c r="E43" s="18">
        <f t="shared" si="4"/>
        <v>1446324.1899771623</v>
      </c>
    </row>
    <row r="44" spans="1:5" ht="12.75">
      <c r="A44" s="21">
        <f t="shared" si="0"/>
        <v>7</v>
      </c>
      <c r="B44" s="18">
        <f t="shared" si="1"/>
        <v>37283.69973660083</v>
      </c>
      <c r="C44" s="21">
        <f t="shared" si="2"/>
        <v>5423.715712414359</v>
      </c>
      <c r="D44" s="18">
        <f t="shared" si="3"/>
        <v>31859.98402418647</v>
      </c>
      <c r="E44" s="18">
        <f t="shared" si="4"/>
        <v>1414464.205952976</v>
      </c>
    </row>
    <row r="45" spans="1:5" ht="12.75">
      <c r="A45" s="21">
        <f t="shared" si="0"/>
        <v>8</v>
      </c>
      <c r="B45" s="18">
        <f t="shared" si="1"/>
        <v>37283.69973660083</v>
      </c>
      <c r="C45" s="21">
        <f t="shared" si="2"/>
        <v>5304.240772323659</v>
      </c>
      <c r="D45" s="18">
        <f t="shared" si="3"/>
        <v>31979.458964277168</v>
      </c>
      <c r="E45" s="18">
        <f t="shared" si="4"/>
        <v>1382484.7469886988</v>
      </c>
    </row>
    <row r="46" spans="1:5" ht="12.75">
      <c r="A46" s="21">
        <f t="shared" si="0"/>
        <v>9</v>
      </c>
      <c r="B46" s="18">
        <f t="shared" si="1"/>
        <v>37283.69973660083</v>
      </c>
      <c r="C46" s="21">
        <f t="shared" si="2"/>
        <v>5184.3178012076205</v>
      </c>
      <c r="D46" s="18">
        <f t="shared" si="3"/>
        <v>32099.38193539321</v>
      </c>
      <c r="E46" s="18">
        <f t="shared" si="4"/>
        <v>1350385.3650533056</v>
      </c>
    </row>
    <row r="47" spans="1:5" ht="12.75">
      <c r="A47" s="21">
        <f t="shared" si="0"/>
        <v>10</v>
      </c>
      <c r="B47" s="18">
        <f t="shared" si="1"/>
        <v>37283.69973660083</v>
      </c>
      <c r="C47" s="21">
        <f t="shared" si="2"/>
        <v>5063.945118949896</v>
      </c>
      <c r="D47" s="18">
        <f t="shared" si="3"/>
        <v>32219.754617650935</v>
      </c>
      <c r="E47" s="18">
        <f t="shared" si="4"/>
        <v>1318165.6104356546</v>
      </c>
    </row>
    <row r="48" spans="1:5" ht="12.75">
      <c r="A48" s="21">
        <f t="shared" si="0"/>
        <v>11</v>
      </c>
      <c r="B48" s="18">
        <f t="shared" si="1"/>
        <v>37283.69973660083</v>
      </c>
      <c r="C48" s="21">
        <f t="shared" si="2"/>
        <v>4943.1210391337045</v>
      </c>
      <c r="D48" s="18">
        <f t="shared" si="3"/>
        <v>32340.578697467125</v>
      </c>
      <c r="E48" s="18">
        <f t="shared" si="4"/>
        <v>1285825.0317381874</v>
      </c>
    </row>
    <row r="49" spans="1:5" ht="12.75">
      <c r="A49" s="21">
        <f t="shared" si="0"/>
        <v>12</v>
      </c>
      <c r="B49" s="18">
        <f t="shared" si="1"/>
        <v>37283.69973660083</v>
      </c>
      <c r="C49" s="21">
        <f t="shared" si="2"/>
        <v>4821.843869018203</v>
      </c>
      <c r="D49" s="18">
        <f t="shared" si="3"/>
        <v>32461.855867582628</v>
      </c>
      <c r="E49" s="18">
        <f t="shared" si="4"/>
        <v>1253363.1758706048</v>
      </c>
    </row>
    <row r="50" spans="1:5" ht="12.75">
      <c r="A50" s="21">
        <f t="shared" si="0"/>
        <v>13</v>
      </c>
      <c r="B50" s="18">
        <f t="shared" si="1"/>
        <v>37283.69973660083</v>
      </c>
      <c r="C50" s="21">
        <f t="shared" si="2"/>
        <v>4700.111909514768</v>
      </c>
      <c r="D50" s="18">
        <f t="shared" si="3"/>
        <v>32583.587827086063</v>
      </c>
      <c r="E50" s="18">
        <f t="shared" si="4"/>
        <v>1220779.5880435188</v>
      </c>
    </row>
    <row r="51" spans="1:5" ht="12.75">
      <c r="A51" s="21">
        <f t="shared" si="0"/>
        <v>14</v>
      </c>
      <c r="B51" s="18">
        <f t="shared" si="1"/>
        <v>37283.69973660083</v>
      </c>
      <c r="C51" s="21">
        <f t="shared" si="2"/>
        <v>4577.923455163195</v>
      </c>
      <c r="D51" s="18">
        <f t="shared" si="3"/>
        <v>32705.776281437633</v>
      </c>
      <c r="E51" s="18">
        <f t="shared" si="4"/>
        <v>1188073.8117620812</v>
      </c>
    </row>
    <row r="52" spans="1:5" ht="12.75">
      <c r="A52" s="21">
        <f t="shared" si="0"/>
        <v>15</v>
      </c>
      <c r="B52" s="18">
        <f t="shared" si="1"/>
        <v>37283.69973660083</v>
      </c>
      <c r="C52" s="21">
        <f t="shared" si="2"/>
        <v>4455.276794107805</v>
      </c>
      <c r="D52" s="18">
        <f t="shared" si="3"/>
        <v>32828.42294249302</v>
      </c>
      <c r="E52" s="18">
        <f t="shared" si="4"/>
        <v>1155245.388819588</v>
      </c>
    </row>
    <row r="53" spans="1:5" ht="12.75">
      <c r="A53" s="21">
        <f t="shared" si="0"/>
        <v>16</v>
      </c>
      <c r="B53" s="18">
        <f t="shared" si="1"/>
        <v>37283.69973660083</v>
      </c>
      <c r="C53" s="21">
        <f t="shared" si="2"/>
        <v>4332.170208073455</v>
      </c>
      <c r="D53" s="18">
        <f t="shared" si="3"/>
        <v>32951.529528527375</v>
      </c>
      <c r="E53" s="18">
        <f t="shared" si="4"/>
        <v>1122293.8592910608</v>
      </c>
    </row>
    <row r="54" spans="1:5" ht="12.75">
      <c r="A54" s="21">
        <f t="shared" si="0"/>
        <v>17</v>
      </c>
      <c r="B54" s="18">
        <f t="shared" si="1"/>
        <v>37283.69973660083</v>
      </c>
      <c r="C54" s="21">
        <f t="shared" si="2"/>
        <v>4208.601972341478</v>
      </c>
      <c r="D54" s="18">
        <f t="shared" si="3"/>
        <v>33075.09776425935</v>
      </c>
      <c r="E54" s="18">
        <f t="shared" si="4"/>
        <v>1089218.7615268014</v>
      </c>
    </row>
    <row r="55" spans="1:5" ht="12.75">
      <c r="A55" s="21">
        <f t="shared" si="0"/>
        <v>18</v>
      </c>
      <c r="B55" s="18">
        <f t="shared" si="1"/>
        <v>37283.69973660083</v>
      </c>
      <c r="C55" s="21">
        <f t="shared" si="2"/>
        <v>4084.570355725505</v>
      </c>
      <c r="D55" s="18">
        <f t="shared" si="3"/>
        <v>33199.129380875325</v>
      </c>
      <c r="E55" s="18">
        <f t="shared" si="4"/>
        <v>1056019.6321459261</v>
      </c>
    </row>
    <row r="56" spans="1:5" ht="12.75">
      <c r="A56" s="21">
        <f t="shared" si="0"/>
        <v>19</v>
      </c>
      <c r="B56" s="18">
        <f t="shared" si="1"/>
        <v>37283.69973660083</v>
      </c>
      <c r="C56" s="21">
        <f t="shared" si="2"/>
        <v>3960.0736205472226</v>
      </c>
      <c r="D56" s="18">
        <f t="shared" si="3"/>
        <v>33323.62611605361</v>
      </c>
      <c r="E56" s="18">
        <f t="shared" si="4"/>
        <v>1022696.0060298725</v>
      </c>
    </row>
    <row r="57" spans="1:5" ht="12.75">
      <c r="A57" s="21">
        <f t="shared" si="0"/>
        <v>20</v>
      </c>
      <c r="B57" s="18">
        <f t="shared" si="1"/>
        <v>37283.69973660083</v>
      </c>
      <c r="C57" s="21">
        <f t="shared" si="2"/>
        <v>3835.1100226120216</v>
      </c>
      <c r="D57" s="18">
        <f t="shared" si="3"/>
        <v>33448.58971398881</v>
      </c>
      <c r="E57" s="18">
        <f t="shared" si="4"/>
        <v>989247.4163158836</v>
      </c>
    </row>
    <row r="58" spans="1:5" ht="12.75">
      <c r="A58" s="21">
        <f t="shared" si="0"/>
        <v>21</v>
      </c>
      <c r="B58" s="18">
        <f t="shared" si="1"/>
        <v>37283.69973660083</v>
      </c>
      <c r="C58" s="21">
        <f t="shared" si="2"/>
        <v>3709.6778111845633</v>
      </c>
      <c r="D58" s="18">
        <f t="shared" si="3"/>
        <v>33574.021925416266</v>
      </c>
      <c r="E58" s="18">
        <f t="shared" si="4"/>
        <v>955673.3943904673</v>
      </c>
    </row>
    <row r="59" spans="1:5" ht="12.75">
      <c r="A59" s="21">
        <f t="shared" si="0"/>
        <v>22</v>
      </c>
      <c r="B59" s="18">
        <f t="shared" si="1"/>
        <v>37283.69973660083</v>
      </c>
      <c r="C59" s="21">
        <f t="shared" si="2"/>
        <v>3583.775228964252</v>
      </c>
      <c r="D59" s="18">
        <f t="shared" si="3"/>
        <v>33699.92450763658</v>
      </c>
      <c r="E59" s="18">
        <f t="shared" si="4"/>
        <v>921973.4698828307</v>
      </c>
    </row>
    <row r="60" spans="1:5" ht="12.75">
      <c r="A60" s="21">
        <f t="shared" si="0"/>
        <v>23</v>
      </c>
      <c r="B60" s="18">
        <f t="shared" si="1"/>
        <v>37283.69973660083</v>
      </c>
      <c r="C60" s="21">
        <f t="shared" si="2"/>
        <v>3457.4005120606153</v>
      </c>
      <c r="D60" s="18">
        <f t="shared" si="3"/>
        <v>33826.29922454021</v>
      </c>
      <c r="E60" s="18">
        <f t="shared" si="4"/>
        <v>888147.1706582905</v>
      </c>
    </row>
    <row r="61" spans="1:5" ht="12.75">
      <c r="A61" s="21">
        <f t="shared" si="0"/>
        <v>24</v>
      </c>
      <c r="B61" s="18">
        <f t="shared" si="1"/>
        <v>37283.69973660083</v>
      </c>
      <c r="C61" s="21">
        <f t="shared" si="2"/>
        <v>3330.5518899685894</v>
      </c>
      <c r="D61" s="18">
        <f t="shared" si="3"/>
        <v>33953.14784663224</v>
      </c>
      <c r="E61" s="18">
        <f t="shared" si="4"/>
        <v>854194.0228116582</v>
      </c>
    </row>
    <row r="62" spans="1:5" ht="12.75">
      <c r="A62" s="21">
        <f t="shared" si="0"/>
        <v>25</v>
      </c>
      <c r="B62" s="18">
        <f t="shared" si="1"/>
        <v>37283.69973660083</v>
      </c>
      <c r="C62" s="21">
        <f t="shared" si="2"/>
        <v>3203.2275855437183</v>
      </c>
      <c r="D62" s="18">
        <f t="shared" si="3"/>
        <v>34080.47215105711</v>
      </c>
      <c r="E62" s="18">
        <f t="shared" si="4"/>
        <v>820113.5506606011</v>
      </c>
    </row>
    <row r="63" spans="1:5" ht="12.75">
      <c r="A63" s="21">
        <f t="shared" si="0"/>
        <v>26</v>
      </c>
      <c r="B63" s="18">
        <f t="shared" si="1"/>
        <v>37283.69973660083</v>
      </c>
      <c r="C63" s="21">
        <f t="shared" si="2"/>
        <v>3075.425814977254</v>
      </c>
      <c r="D63" s="18">
        <f t="shared" si="3"/>
        <v>34208.27392162358</v>
      </c>
      <c r="E63" s="18">
        <f t="shared" si="4"/>
        <v>785905.2767389775</v>
      </c>
    </row>
    <row r="64" spans="1:5" ht="12.75">
      <c r="A64" s="21">
        <f t="shared" si="0"/>
        <v>27</v>
      </c>
      <c r="B64" s="18">
        <f t="shared" si="1"/>
        <v>37283.69973660083</v>
      </c>
      <c r="C64" s="21">
        <f t="shared" si="2"/>
        <v>2947.1447877711657</v>
      </c>
      <c r="D64" s="18">
        <f t="shared" si="3"/>
        <v>34336.55494882966</v>
      </c>
      <c r="E64" s="18">
        <f t="shared" si="4"/>
        <v>751568.7217901478</v>
      </c>
    </row>
    <row r="65" spans="1:5" ht="12.75">
      <c r="A65" s="21">
        <f t="shared" si="0"/>
        <v>28</v>
      </c>
      <c r="B65" s="18">
        <f t="shared" si="1"/>
        <v>37283.69973660083</v>
      </c>
      <c r="C65" s="21">
        <f t="shared" si="2"/>
        <v>2818.382706713054</v>
      </c>
      <c r="D65" s="18">
        <f t="shared" si="3"/>
        <v>34465.317029887774</v>
      </c>
      <c r="E65" s="18">
        <f t="shared" si="4"/>
        <v>717103.40476026</v>
      </c>
    </row>
    <row r="66" spans="1:5" ht="12.75">
      <c r="A66" s="21">
        <f t="shared" si="0"/>
        <v>29</v>
      </c>
      <c r="B66" s="18">
        <f t="shared" si="1"/>
        <v>37283.69973660083</v>
      </c>
      <c r="C66" s="21">
        <f t="shared" si="2"/>
        <v>2689.137767850975</v>
      </c>
      <c r="D66" s="18">
        <f t="shared" si="3"/>
        <v>34594.561968749855</v>
      </c>
      <c r="E66" s="18">
        <f t="shared" si="4"/>
        <v>682508.8427915102</v>
      </c>
    </row>
    <row r="67" spans="1:5" ht="12.75">
      <c r="A67" s="21">
        <f t="shared" si="0"/>
        <v>30</v>
      </c>
      <c r="B67" s="18">
        <f t="shared" si="1"/>
        <v>37283.69973660083</v>
      </c>
      <c r="C67" s="21">
        <f t="shared" si="2"/>
        <v>2559.408160468163</v>
      </c>
      <c r="D67" s="18">
        <f t="shared" si="3"/>
        <v>34724.291576132666</v>
      </c>
      <c r="E67" s="18">
        <f t="shared" si="4"/>
        <v>647784.5512153775</v>
      </c>
    </row>
    <row r="68" spans="1:5" ht="12.75">
      <c r="A68" s="21">
        <f t="shared" si="0"/>
        <v>31</v>
      </c>
      <c r="B68" s="18">
        <f t="shared" si="1"/>
        <v>37283.69973660083</v>
      </c>
      <c r="C68" s="21">
        <f t="shared" si="2"/>
        <v>2429.1920670576656</v>
      </c>
      <c r="D68" s="18">
        <f t="shared" si="3"/>
        <v>34854.50766954316</v>
      </c>
      <c r="E68" s="18">
        <f t="shared" si="4"/>
        <v>612930.0435458344</v>
      </c>
    </row>
    <row r="69" spans="1:5" ht="12.75">
      <c r="A69" s="21">
        <f t="shared" si="0"/>
        <v>32</v>
      </c>
      <c r="B69" s="18">
        <f t="shared" si="1"/>
        <v>37283.69973660083</v>
      </c>
      <c r="C69" s="21">
        <f t="shared" si="2"/>
        <v>2298.487663296879</v>
      </c>
      <c r="D69" s="18">
        <f t="shared" si="3"/>
        <v>34985.21207330395</v>
      </c>
      <c r="E69" s="18">
        <f t="shared" si="4"/>
        <v>577944.8314725304</v>
      </c>
    </row>
    <row r="70" spans="1:5" ht="12.75">
      <c r="A70" s="21">
        <f t="shared" si="0"/>
        <v>33</v>
      </c>
      <c r="B70" s="18">
        <f t="shared" si="1"/>
        <v>37283.69973660083</v>
      </c>
      <c r="C70" s="21">
        <f t="shared" si="2"/>
        <v>2167.293118021989</v>
      </c>
      <c r="D70" s="18">
        <f t="shared" si="3"/>
        <v>35116.40661857884</v>
      </c>
      <c r="E70" s="18">
        <f t="shared" si="4"/>
        <v>542828.4248539516</v>
      </c>
    </row>
    <row r="71" spans="1:5" ht="12.75">
      <c r="A71" s="21">
        <f t="shared" si="0"/>
        <v>34</v>
      </c>
      <c r="B71" s="18">
        <f t="shared" si="1"/>
        <v>37283.69973660083</v>
      </c>
      <c r="C71" s="21">
        <f t="shared" si="2"/>
        <v>2035.6065932023182</v>
      </c>
      <c r="D71" s="18">
        <f t="shared" si="3"/>
        <v>35248.09314339851</v>
      </c>
      <c r="E71" s="18">
        <f t="shared" si="4"/>
        <v>507580.33171055303</v>
      </c>
    </row>
    <row r="72" spans="1:5" ht="12.75">
      <c r="A72" s="21">
        <f t="shared" si="0"/>
        <v>35</v>
      </c>
      <c r="B72" s="18">
        <f t="shared" si="1"/>
        <v>37283.69973660083</v>
      </c>
      <c r="C72" s="21">
        <f t="shared" si="2"/>
        <v>1903.426243914574</v>
      </c>
      <c r="D72" s="18">
        <f t="shared" si="3"/>
        <v>35380.273492686254</v>
      </c>
      <c r="E72" s="18">
        <f t="shared" si="4"/>
        <v>472200.05821786675</v>
      </c>
    </row>
    <row r="73" spans="1:5" ht="12.75">
      <c r="A73" s="21">
        <f t="shared" si="0"/>
        <v>36</v>
      </c>
      <c r="B73" s="18">
        <f t="shared" si="1"/>
        <v>37283.69973660083</v>
      </c>
      <c r="C73" s="21">
        <f t="shared" si="2"/>
        <v>1770.7502183170002</v>
      </c>
      <c r="D73" s="18">
        <f t="shared" si="3"/>
        <v>35512.94951828383</v>
      </c>
      <c r="E73" s="18">
        <f t="shared" si="4"/>
        <v>436687.1086995829</v>
      </c>
    </row>
    <row r="74" spans="1:5" ht="12.75">
      <c r="A74" s="21">
        <f t="shared" si="0"/>
        <v>37</v>
      </c>
      <c r="B74" s="18">
        <f t="shared" si="1"/>
        <v>37283.69973660083</v>
      </c>
      <c r="C74" s="21">
        <f t="shared" si="2"/>
        <v>1637.576657623436</v>
      </c>
      <c r="D74" s="18">
        <f t="shared" si="3"/>
        <v>35646.12307897739</v>
      </c>
      <c r="E74" s="18">
        <f t="shared" si="4"/>
        <v>401040.9856206055</v>
      </c>
    </row>
    <row r="75" spans="1:5" ht="12.75">
      <c r="A75" s="21">
        <f t="shared" si="0"/>
        <v>38</v>
      </c>
      <c r="B75" s="18">
        <f t="shared" si="1"/>
        <v>37283.69973660083</v>
      </c>
      <c r="C75" s="21">
        <f t="shared" si="2"/>
        <v>1503.9036960772708</v>
      </c>
      <c r="D75" s="18">
        <f t="shared" si="3"/>
        <v>35779.79604052356</v>
      </c>
      <c r="E75" s="18">
        <f t="shared" si="4"/>
        <v>365261.18958008196</v>
      </c>
    </row>
    <row r="76" spans="1:5" ht="12.75">
      <c r="A76" s="21">
        <f t="shared" si="0"/>
        <v>39</v>
      </c>
      <c r="B76" s="18">
        <f t="shared" si="1"/>
        <v>37283.69973660083</v>
      </c>
      <c r="C76" s="21">
        <f t="shared" si="2"/>
        <v>1369.7294609253072</v>
      </c>
      <c r="D76" s="18">
        <f t="shared" si="3"/>
        <v>35913.97027567552</v>
      </c>
      <c r="E76" s="18">
        <f t="shared" si="4"/>
        <v>329347.21930440643</v>
      </c>
    </row>
    <row r="77" spans="1:5" ht="12.75">
      <c r="A77" s="21">
        <f t="shared" si="0"/>
        <v>40</v>
      </c>
      <c r="B77" s="18">
        <f t="shared" si="1"/>
        <v>37283.69973660083</v>
      </c>
      <c r="C77" s="21">
        <f t="shared" si="2"/>
        <v>1235.052072391524</v>
      </c>
      <c r="D77" s="18">
        <f t="shared" si="3"/>
        <v>36048.647664209304</v>
      </c>
      <c r="E77" s="18">
        <f t="shared" si="4"/>
        <v>293298.57164019713</v>
      </c>
    </row>
    <row r="78" spans="1:5" ht="12.75">
      <c r="A78" s="21">
        <f t="shared" si="0"/>
        <v>41</v>
      </c>
      <c r="B78" s="18">
        <f t="shared" si="1"/>
        <v>37283.69973660083</v>
      </c>
      <c r="C78" s="21">
        <f t="shared" si="2"/>
        <v>1099.8696436507391</v>
      </c>
      <c r="D78" s="18">
        <f t="shared" si="3"/>
        <v>36183.83009295009</v>
      </c>
      <c r="E78" s="18">
        <f t="shared" si="4"/>
        <v>257114.74154724705</v>
      </c>
    </row>
    <row r="79" spans="1:5" ht="12.75">
      <c r="A79" s="21">
        <f t="shared" si="0"/>
        <v>42</v>
      </c>
      <c r="B79" s="18">
        <f t="shared" si="1"/>
        <v>37283.69973660083</v>
      </c>
      <c r="C79" s="21">
        <f t="shared" si="2"/>
        <v>964.1802808021764</v>
      </c>
      <c r="D79" s="18">
        <f t="shared" si="3"/>
        <v>36319.519455798654</v>
      </c>
      <c r="E79" s="18">
        <f t="shared" si="4"/>
        <v>220795.22209144838</v>
      </c>
    </row>
    <row r="80" spans="1:5" ht="12.75">
      <c r="A80" s="21">
        <f t="shared" si="0"/>
        <v>43</v>
      </c>
      <c r="B80" s="18">
        <f t="shared" si="1"/>
        <v>37283.69973660083</v>
      </c>
      <c r="C80" s="21">
        <f t="shared" si="2"/>
        <v>827.9820828429314</v>
      </c>
      <c r="D80" s="18">
        <f t="shared" si="3"/>
        <v>36455.7176537579</v>
      </c>
      <c r="E80" s="18">
        <f t="shared" si="4"/>
        <v>184339.50443769048</v>
      </c>
    </row>
    <row r="81" spans="1:5" ht="12.75">
      <c r="A81" s="21">
        <f t="shared" si="0"/>
        <v>44</v>
      </c>
      <c r="B81" s="18">
        <f t="shared" si="1"/>
        <v>37283.69973660083</v>
      </c>
      <c r="C81" s="21">
        <f t="shared" si="2"/>
        <v>691.2731416413393</v>
      </c>
      <c r="D81" s="18">
        <f t="shared" si="3"/>
        <v>36592.42659495949</v>
      </c>
      <c r="E81" s="18">
        <f t="shared" si="4"/>
        <v>147747.077842731</v>
      </c>
    </row>
    <row r="82" spans="1:5" ht="12.75">
      <c r="A82" s="21">
        <f t="shared" si="0"/>
        <v>45</v>
      </c>
      <c r="B82" s="18">
        <f t="shared" si="1"/>
        <v>37283.69973660083</v>
      </c>
      <c r="C82" s="21">
        <f t="shared" si="2"/>
        <v>554.0515419102412</v>
      </c>
      <c r="D82" s="18">
        <f t="shared" si="3"/>
        <v>36729.648194690584</v>
      </c>
      <c r="E82" s="18">
        <f t="shared" si="4"/>
        <v>111017.42964804042</v>
      </c>
    </row>
    <row r="83" spans="1:5" ht="12.75">
      <c r="A83" s="21">
        <f t="shared" si="0"/>
        <v>46</v>
      </c>
      <c r="B83" s="18">
        <f t="shared" si="1"/>
        <v>37283.69973660083</v>
      </c>
      <c r="C83" s="21">
        <f t="shared" si="2"/>
        <v>416.31536118015157</v>
      </c>
      <c r="D83" s="18">
        <f t="shared" si="3"/>
        <v>36867.384375420675</v>
      </c>
      <c r="E83" s="18">
        <f t="shared" si="4"/>
        <v>74150.04527261974</v>
      </c>
    </row>
    <row r="84" spans="1:5" ht="12.75">
      <c r="A84" s="21">
        <f t="shared" si="0"/>
        <v>47</v>
      </c>
      <c r="B84" s="18">
        <f t="shared" si="1"/>
        <v>37283.69973660083</v>
      </c>
      <c r="C84" s="21">
        <f t="shared" si="2"/>
        <v>278.062669772324</v>
      </c>
      <c r="D84" s="18">
        <f t="shared" si="3"/>
        <v>37005.6370668285</v>
      </c>
      <c r="E84" s="18">
        <f t="shared" si="4"/>
        <v>37144.40820579124</v>
      </c>
    </row>
    <row r="85" spans="1:5" ht="12.75">
      <c r="A85" s="21">
        <f t="shared" si="0"/>
        <v>48</v>
      </c>
      <c r="B85" s="18">
        <f t="shared" si="1"/>
        <v>37283.69973660083</v>
      </c>
      <c r="C85" s="21">
        <f t="shared" si="2"/>
        <v>139.29153077171713</v>
      </c>
      <c r="D85" s="18">
        <f t="shared" si="3"/>
        <v>37144.40820582911</v>
      </c>
      <c r="E85" s="18">
        <f t="shared" si="4"/>
        <v>-3.787135938182473E-08</v>
      </c>
    </row>
  </sheetData>
  <sheetProtection/>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indexed="13"/>
  </sheetPr>
  <dimension ref="A1:M19"/>
  <sheetViews>
    <sheetView zoomScale="82" zoomScaleNormal="82" zoomScalePageLayoutView="0" workbookViewId="0" topLeftCell="C1">
      <selection activeCell="M8" sqref="M8"/>
    </sheetView>
  </sheetViews>
  <sheetFormatPr defaultColWidth="9.140625" defaultRowHeight="12.75"/>
  <cols>
    <col min="1" max="1" width="24.8515625" style="4" customWidth="1"/>
    <col min="2" max="2" width="28.00390625" style="0" customWidth="1"/>
    <col min="3" max="3" width="9.8515625" style="0" customWidth="1"/>
    <col min="4" max="4" width="10.28125" style="0" customWidth="1"/>
    <col min="5" max="5" width="11.8515625" style="0" customWidth="1"/>
    <col min="6" max="6" width="6.8515625" style="0" customWidth="1"/>
    <col min="7" max="7" width="8.8515625" style="0" bestFit="1" customWidth="1"/>
    <col min="8" max="8" width="10.421875" style="0" bestFit="1" customWidth="1"/>
    <col min="9" max="9" width="13.00390625" style="0" bestFit="1" customWidth="1"/>
    <col min="10" max="10" width="11.28125" style="0" customWidth="1"/>
    <col min="11" max="11" width="13.00390625" style="0" bestFit="1" customWidth="1"/>
    <col min="12" max="12" width="10.421875" style="0" customWidth="1"/>
    <col min="13" max="13" width="12.57421875" style="0" bestFit="1" customWidth="1"/>
  </cols>
  <sheetData>
    <row r="1" spans="1:11" ht="18.75" thickBot="1">
      <c r="A1" s="137" t="s">
        <v>122</v>
      </c>
      <c r="B1" s="138"/>
      <c r="C1" s="138"/>
      <c r="D1" s="138"/>
      <c r="E1" s="138"/>
      <c r="F1" s="138"/>
      <c r="G1" s="138"/>
      <c r="H1" s="138"/>
      <c r="I1" s="138"/>
      <c r="J1" s="138"/>
      <c r="K1" s="139"/>
    </row>
    <row r="2" spans="1:7" ht="12.75">
      <c r="A2" s="140"/>
      <c r="B2" s="133"/>
      <c r="C2" s="133"/>
      <c r="D2" s="133"/>
      <c r="E2" s="133"/>
      <c r="F2" s="133"/>
      <c r="G2" s="133"/>
    </row>
    <row r="3" spans="1:7" ht="12.75">
      <c r="A3" s="142" t="s">
        <v>123</v>
      </c>
      <c r="B3" s="148">
        <v>250000</v>
      </c>
      <c r="C3" s="133"/>
      <c r="D3" s="133"/>
      <c r="E3" s="133"/>
      <c r="F3" s="133"/>
      <c r="G3" s="133"/>
    </row>
    <row r="4" spans="1:7" ht="38.25">
      <c r="A4" s="142" t="s">
        <v>124</v>
      </c>
      <c r="B4" s="143">
        <v>12</v>
      </c>
      <c r="C4" s="133"/>
      <c r="D4" s="133"/>
      <c r="E4" s="133"/>
      <c r="F4" s="133"/>
      <c r="G4" s="133"/>
    </row>
    <row r="5" spans="1:2" ht="25.5">
      <c r="A5" s="142" t="s">
        <v>125</v>
      </c>
      <c r="B5" s="148">
        <v>-10000</v>
      </c>
    </row>
    <row r="6" spans="1:13" ht="38.25">
      <c r="A6" s="140"/>
      <c r="B6" s="133"/>
      <c r="C6" s="5" t="s">
        <v>126</v>
      </c>
      <c r="D6" s="5" t="s">
        <v>127</v>
      </c>
      <c r="E6" s="5" t="s">
        <v>128</v>
      </c>
      <c r="F6" s="5" t="s">
        <v>129</v>
      </c>
      <c r="G6" s="134" t="s">
        <v>130</v>
      </c>
      <c r="H6" s="134" t="s">
        <v>131</v>
      </c>
      <c r="I6" s="5" t="s">
        <v>136</v>
      </c>
      <c r="J6" s="5" t="s">
        <v>132</v>
      </c>
      <c r="K6" s="5" t="s">
        <v>133</v>
      </c>
      <c r="L6" s="5" t="s">
        <v>137</v>
      </c>
      <c r="M6" s="5" t="s">
        <v>134</v>
      </c>
    </row>
    <row r="7" spans="3:13" ht="12.75">
      <c r="C7" s="144">
        <v>1</v>
      </c>
      <c r="D7" s="145">
        <v>0.1</v>
      </c>
      <c r="E7" s="146">
        <v>0.085</v>
      </c>
      <c r="F7" s="144">
        <v>30</v>
      </c>
      <c r="G7" s="144">
        <v>2</v>
      </c>
      <c r="H7" s="144">
        <v>350</v>
      </c>
      <c r="I7" s="147">
        <f aca="true" t="shared" si="0" ref="I7:I13">B$3*(1-D7)</f>
        <v>225000</v>
      </c>
      <c r="J7" s="147">
        <f aca="true" t="shared" si="1" ref="J7:J13">PMT(E7/B$4,F7*B$4,I7)</f>
        <v>-1730.0553380647498</v>
      </c>
      <c r="K7" s="147">
        <f aca="true" t="shared" si="2" ref="K7:K13">I7*(1-G7/100)-H7</f>
        <v>220150</v>
      </c>
      <c r="L7" s="135">
        <f aca="true" t="shared" si="3" ref="L7:L13">RATE(F7*12,J7,K7)*B$4</f>
        <v>0.08738132734072385</v>
      </c>
      <c r="M7" s="174">
        <f>PMT(E7/B$4,F7*B$4,I7,B$5)</f>
        <v>-1723.9973230396497</v>
      </c>
    </row>
    <row r="8" spans="3:13" ht="12.75">
      <c r="C8" s="144">
        <v>2</v>
      </c>
      <c r="D8" s="145">
        <v>0.2</v>
      </c>
      <c r="E8" s="146">
        <v>0.0825</v>
      </c>
      <c r="F8" s="144">
        <v>30</v>
      </c>
      <c r="G8" s="144">
        <v>2</v>
      </c>
      <c r="H8" s="144">
        <v>350</v>
      </c>
      <c r="I8" s="147">
        <f t="shared" si="0"/>
        <v>200000</v>
      </c>
      <c r="J8" s="174">
        <f t="shared" si="1"/>
        <v>-1502.5332081018505</v>
      </c>
      <c r="K8" s="147">
        <f t="shared" si="2"/>
        <v>195650</v>
      </c>
      <c r="L8" s="135">
        <f t="shared" si="3"/>
        <v>0.08486683768102113</v>
      </c>
      <c r="M8" s="147">
        <f aca="true" t="shared" si="4" ref="M8:M13">PMT(E8/B$4,F8*B$4,I8,B$5)</f>
        <v>-1496.1565476967578</v>
      </c>
    </row>
    <row r="9" spans="3:13" ht="12.75">
      <c r="C9" s="144">
        <v>3</v>
      </c>
      <c r="D9" s="145">
        <v>0.05</v>
      </c>
      <c r="E9" s="146">
        <v>0.089</v>
      </c>
      <c r="F9" s="144">
        <v>30</v>
      </c>
      <c r="G9" s="144">
        <v>2</v>
      </c>
      <c r="H9" s="144">
        <v>350</v>
      </c>
      <c r="I9" s="147">
        <f t="shared" si="0"/>
        <v>237500</v>
      </c>
      <c r="J9" s="174">
        <f t="shared" si="1"/>
        <v>-1893.914773670615</v>
      </c>
      <c r="K9" s="147">
        <f t="shared" si="2"/>
        <v>232400</v>
      </c>
      <c r="L9" s="135">
        <f t="shared" si="3"/>
        <v>0.09143060549777063</v>
      </c>
      <c r="M9" s="147">
        <f t="shared" si="4"/>
        <v>-1888.3376603932559</v>
      </c>
    </row>
    <row r="10" spans="2:13" ht="12.75">
      <c r="B10" s="149"/>
      <c r="C10" s="144">
        <v>4</v>
      </c>
      <c r="D10" s="145">
        <v>0.1</v>
      </c>
      <c r="E10" s="146">
        <v>0.09</v>
      </c>
      <c r="F10" s="144">
        <v>30</v>
      </c>
      <c r="G10" s="144">
        <v>0</v>
      </c>
      <c r="H10" s="144">
        <v>0</v>
      </c>
      <c r="I10" s="147">
        <f t="shared" si="0"/>
        <v>225000</v>
      </c>
      <c r="J10" s="147">
        <f t="shared" si="1"/>
        <v>-1810.400888125757</v>
      </c>
      <c r="K10" s="147">
        <f t="shared" si="2"/>
        <v>225000</v>
      </c>
      <c r="L10" s="135">
        <f t="shared" si="3"/>
        <v>0.09000000000000002</v>
      </c>
      <c r="M10" s="147">
        <f t="shared" si="4"/>
        <v>-1804.938626431279</v>
      </c>
    </row>
    <row r="11" spans="2:13" ht="12.75">
      <c r="B11" s="150"/>
      <c r="C11" s="144">
        <v>5</v>
      </c>
      <c r="D11" s="145">
        <v>0.2</v>
      </c>
      <c r="E11" s="146">
        <v>0.085</v>
      </c>
      <c r="F11" s="144">
        <v>30</v>
      </c>
      <c r="G11" s="144">
        <v>0</v>
      </c>
      <c r="H11" s="144">
        <v>0</v>
      </c>
      <c r="I11" s="147">
        <f t="shared" si="0"/>
        <v>200000</v>
      </c>
      <c r="J11" s="147">
        <f t="shared" si="1"/>
        <v>-1537.8269671686662</v>
      </c>
      <c r="K11" s="147">
        <f t="shared" si="2"/>
        <v>200000</v>
      </c>
      <c r="L11" s="135">
        <f t="shared" si="3"/>
        <v>0.08499999999999941</v>
      </c>
      <c r="M11" s="147">
        <f t="shared" si="4"/>
        <v>-1531.7689521435664</v>
      </c>
    </row>
    <row r="12" spans="3:13" ht="12.75">
      <c r="C12" s="144">
        <v>6</v>
      </c>
      <c r="D12" s="145">
        <v>0.1</v>
      </c>
      <c r="E12" s="146">
        <v>0.08</v>
      </c>
      <c r="F12" s="144">
        <v>15</v>
      </c>
      <c r="G12" s="144">
        <v>1</v>
      </c>
      <c r="H12" s="144">
        <v>350</v>
      </c>
      <c r="I12" s="147">
        <f t="shared" si="0"/>
        <v>225000</v>
      </c>
      <c r="J12" s="147">
        <f t="shared" si="1"/>
        <v>-2150.2171897433</v>
      </c>
      <c r="K12" s="147">
        <f t="shared" si="2"/>
        <v>222400</v>
      </c>
      <c r="L12" s="135">
        <f t="shared" si="3"/>
        <v>0.08192949096944199</v>
      </c>
      <c r="M12" s="147">
        <f t="shared" si="4"/>
        <v>-2121.318647976931</v>
      </c>
    </row>
    <row r="13" spans="3:13" ht="12.75">
      <c r="C13" s="144">
        <v>7</v>
      </c>
      <c r="D13" s="145">
        <v>0.2</v>
      </c>
      <c r="E13" s="146">
        <v>0.076</v>
      </c>
      <c r="F13" s="144">
        <v>15</v>
      </c>
      <c r="G13" s="144">
        <v>1</v>
      </c>
      <c r="H13" s="144">
        <v>350</v>
      </c>
      <c r="I13" s="147">
        <f t="shared" si="0"/>
        <v>200000</v>
      </c>
      <c r="J13" s="147">
        <f t="shared" si="1"/>
        <v>-1865.4082034230535</v>
      </c>
      <c r="K13" s="147">
        <f t="shared" si="2"/>
        <v>197650</v>
      </c>
      <c r="L13" s="135">
        <f t="shared" si="3"/>
        <v>0.07793927673644396</v>
      </c>
      <c r="M13" s="147">
        <f t="shared" si="4"/>
        <v>-1835.471126585234</v>
      </c>
    </row>
    <row r="14" spans="3:13" ht="12.75">
      <c r="C14" s="151"/>
      <c r="D14" s="152"/>
      <c r="E14" s="153"/>
      <c r="F14" s="151"/>
      <c r="G14" s="151"/>
      <c r="H14" s="151"/>
      <c r="I14" s="154"/>
      <c r="J14" s="154"/>
      <c r="K14" s="154"/>
      <c r="L14" s="155"/>
      <c r="M14" s="147"/>
    </row>
    <row r="15" spans="3:13" ht="25.5">
      <c r="C15" s="159" t="s">
        <v>138</v>
      </c>
      <c r="D15" s="159" t="s">
        <v>139</v>
      </c>
      <c r="E15" s="159" t="s">
        <v>140</v>
      </c>
      <c r="F15" s="159" t="s">
        <v>141</v>
      </c>
      <c r="G15" s="159" t="s">
        <v>142</v>
      </c>
      <c r="H15" s="159" t="s">
        <v>145</v>
      </c>
      <c r="M15" s="147"/>
    </row>
    <row r="16" spans="1:8" ht="38.25">
      <c r="A16" s="142" t="s">
        <v>143</v>
      </c>
      <c r="B16" s="156">
        <f>RATE(D16*F16,E16,B3*C16)*D16</f>
        <v>0.10097539448120862</v>
      </c>
      <c r="C16" s="82">
        <v>0.8</v>
      </c>
      <c r="D16" s="21">
        <v>4</v>
      </c>
      <c r="E16" s="18">
        <v>-8000</v>
      </c>
      <c r="F16" s="21">
        <v>10</v>
      </c>
      <c r="G16" s="21"/>
      <c r="H16" s="21"/>
    </row>
    <row r="17" spans="1:11" ht="25.5">
      <c r="A17" s="142" t="s">
        <v>144</v>
      </c>
      <c r="B17" s="157">
        <f>NPER(G17/D17,E17,B3*C17)/D17</f>
        <v>29.782070974136527</v>
      </c>
      <c r="C17" s="82">
        <v>0.95</v>
      </c>
      <c r="D17" s="21">
        <v>4</v>
      </c>
      <c r="E17" s="21">
        <v>-5000</v>
      </c>
      <c r="F17" s="21">
        <v>10</v>
      </c>
      <c r="G17" s="83">
        <v>0.075</v>
      </c>
      <c r="H17" s="21"/>
      <c r="K17" s="136"/>
    </row>
    <row r="18" spans="1:8" ht="25.5">
      <c r="A18" s="142" t="s">
        <v>135</v>
      </c>
      <c r="B18" s="158" t="b">
        <f>FV(G18,F18,,-H18)&gt;B3*D7</f>
        <v>0</v>
      </c>
      <c r="C18" s="21"/>
      <c r="D18" s="160"/>
      <c r="E18" s="49"/>
      <c r="F18" s="21">
        <v>8</v>
      </c>
      <c r="G18" s="83">
        <v>0.0425</v>
      </c>
      <c r="H18" s="21">
        <v>10000</v>
      </c>
    </row>
    <row r="19" spans="1:7" ht="12.75">
      <c r="A19" s="141"/>
      <c r="B19" s="133"/>
      <c r="C19" s="133"/>
      <c r="D19" s="133"/>
      <c r="E19" s="133"/>
      <c r="F19" s="133"/>
      <c r="G19" s="133"/>
    </row>
    <row r="24" ht="12.75"/>
    <row r="25" ht="12.75"/>
    <row r="26" ht="12.75"/>
  </sheetData>
  <sheetProtection/>
  <conditionalFormatting sqref="J7:J13">
    <cfRule type="expression" priority="1" dxfId="0" stopIfTrue="1">
      <formula>J7=MAX($J$7:$J$13)</formula>
    </cfRule>
  </conditionalFormatting>
  <printOptions gridLines="1" headings="1"/>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indexed="41"/>
  </sheetPr>
  <dimension ref="A1:J374"/>
  <sheetViews>
    <sheetView zoomScale="85" zoomScaleNormal="85" zoomScalePageLayoutView="0" workbookViewId="0" topLeftCell="A1">
      <selection activeCell="E1" sqref="E1"/>
    </sheetView>
  </sheetViews>
  <sheetFormatPr defaultColWidth="9.140625" defaultRowHeight="12.75"/>
  <cols>
    <col min="1" max="2" width="14.140625" style="0" customWidth="1"/>
    <col min="3" max="3" width="26.140625" style="0" bestFit="1" customWidth="1"/>
    <col min="4" max="5" width="14.140625" style="0" customWidth="1"/>
    <col min="7" max="7" width="17.421875" style="0" bestFit="1" customWidth="1"/>
    <col min="8" max="8" width="14.140625" style="0" customWidth="1"/>
    <col min="9" max="9" width="26.140625" style="0" bestFit="1" customWidth="1"/>
    <col min="10" max="10" width="14.140625" style="0" customWidth="1"/>
  </cols>
  <sheetData>
    <row r="1" spans="1:10" ht="12.75">
      <c r="A1" s="71" t="s">
        <v>146</v>
      </c>
      <c r="B1" s="21" t="s">
        <v>147</v>
      </c>
      <c r="C1" s="71" t="s">
        <v>142</v>
      </c>
      <c r="D1" s="83">
        <v>0.065</v>
      </c>
      <c r="G1" s="71" t="s">
        <v>146</v>
      </c>
      <c r="H1" s="21" t="s">
        <v>147</v>
      </c>
      <c r="I1" s="71" t="s">
        <v>142</v>
      </c>
      <c r="J1" s="83">
        <v>0.05</v>
      </c>
    </row>
    <row r="2" spans="1:10" ht="12.75">
      <c r="A2" s="71" t="s">
        <v>148</v>
      </c>
      <c r="B2" s="18">
        <v>150000</v>
      </c>
      <c r="C2" s="71" t="s">
        <v>149</v>
      </c>
      <c r="D2" s="161">
        <f>D1/D5</f>
        <v>0.005416666666666667</v>
      </c>
      <c r="G2" s="71" t="s">
        <v>148</v>
      </c>
      <c r="H2" s="18">
        <v>200000</v>
      </c>
      <c r="I2" s="71" t="s">
        <v>149</v>
      </c>
      <c r="J2" s="161">
        <f>J1/J5</f>
        <v>0.004166666666666667</v>
      </c>
    </row>
    <row r="3" spans="1:10" ht="12.75">
      <c r="A3" s="71" t="s">
        <v>150</v>
      </c>
      <c r="B3" s="18">
        <v>0</v>
      </c>
      <c r="C3" s="71" t="s">
        <v>100</v>
      </c>
      <c r="D3" s="21">
        <v>15</v>
      </c>
      <c r="G3" s="71" t="s">
        <v>150</v>
      </c>
      <c r="H3" s="18">
        <v>0</v>
      </c>
      <c r="I3" s="71" t="s">
        <v>100</v>
      </c>
      <c r="J3" s="21">
        <v>15</v>
      </c>
    </row>
    <row r="4" spans="1:10" ht="12.75">
      <c r="A4" s="71" t="s">
        <v>151</v>
      </c>
      <c r="B4" s="18">
        <f>B2-B3</f>
        <v>150000</v>
      </c>
      <c r="C4" s="71" t="s">
        <v>34</v>
      </c>
      <c r="D4" s="21">
        <f>D3*D5</f>
        <v>180</v>
      </c>
      <c r="G4" s="71" t="s">
        <v>151</v>
      </c>
      <c r="H4" s="18">
        <f>H2-H3</f>
        <v>200000</v>
      </c>
      <c r="I4" s="71" t="s">
        <v>34</v>
      </c>
      <c r="J4" s="21">
        <f>J3*J5</f>
        <v>180</v>
      </c>
    </row>
    <row r="5" spans="1:10" ht="12.75">
      <c r="A5" s="71" t="s">
        <v>69</v>
      </c>
      <c r="B5" s="162">
        <f>PMT(D2,D4,B4,D6)</f>
        <v>-1306.661047946051</v>
      </c>
      <c r="C5" s="71" t="s">
        <v>152</v>
      </c>
      <c r="D5" s="21">
        <v>12</v>
      </c>
      <c r="G5" s="71" t="s">
        <v>130</v>
      </c>
      <c r="H5" s="162">
        <v>0.02</v>
      </c>
      <c r="I5" s="71" t="s">
        <v>152</v>
      </c>
      <c r="J5" s="21">
        <v>12</v>
      </c>
    </row>
    <row r="6" spans="1:10" ht="12.75">
      <c r="A6" s="71" t="s">
        <v>69</v>
      </c>
      <c r="B6" s="162">
        <f>-PMT(D2,D4,B4,D6)</f>
        <v>1306.661047946051</v>
      </c>
      <c r="C6" s="71" t="s">
        <v>153</v>
      </c>
      <c r="D6" s="21">
        <v>0</v>
      </c>
      <c r="G6" s="71" t="s">
        <v>69</v>
      </c>
      <c r="H6" s="162">
        <f>ROUND(PMT(J2,J4,H4,J6),2)</f>
        <v>-1581.59</v>
      </c>
      <c r="I6" s="71" t="s">
        <v>153</v>
      </c>
      <c r="J6" s="21">
        <v>0</v>
      </c>
    </row>
    <row r="7" spans="1:10" ht="12.75">
      <c r="A7" s="71" t="s">
        <v>69</v>
      </c>
      <c r="B7" s="162">
        <f>B4/((1-(1+D2)^-D4)/D2)</f>
        <v>1306.6610479460508</v>
      </c>
      <c r="C7" s="71" t="s">
        <v>154</v>
      </c>
      <c r="D7" s="162">
        <f>SUM(B15:B374)</f>
        <v>235199.17161250053</v>
      </c>
      <c r="E7" s="149"/>
      <c r="I7" s="71" t="s">
        <v>155</v>
      </c>
      <c r="J7" s="83">
        <f>RATE(J4,H6,H4*(1-H5))*J5</f>
        <v>0.05308057633380586</v>
      </c>
    </row>
    <row r="8" spans="1:4" ht="12.75">
      <c r="A8" s="71" t="s">
        <v>69</v>
      </c>
      <c r="B8" s="162">
        <f>ROUND(-PMT(D2,D4,B4,D6),2)</f>
        <v>1306.66</v>
      </c>
      <c r="C8" s="71" t="s">
        <v>156</v>
      </c>
      <c r="D8" s="18">
        <f>SUM(C15:C374)</f>
        <v>85199.16999999998</v>
      </c>
    </row>
    <row r="9" spans="3:4" ht="12.75">
      <c r="C9" s="71" t="s">
        <v>157</v>
      </c>
      <c r="D9" s="18">
        <f>SUM(D15:D374)</f>
        <v>150000.00161250003</v>
      </c>
    </row>
    <row r="10" spans="3:4" ht="12.75">
      <c r="C10" s="71" t="s">
        <v>158</v>
      </c>
      <c r="D10" s="162">
        <f>D9+B3</f>
        <v>150000.00161250003</v>
      </c>
    </row>
    <row r="11" spans="3:4" ht="12.75">
      <c r="C11" s="71" t="s">
        <v>159</v>
      </c>
      <c r="D11" s="162">
        <f>D8+D10</f>
        <v>235199.1716125</v>
      </c>
    </row>
    <row r="13" spans="1:5" ht="51">
      <c r="A13" s="71" t="s">
        <v>160</v>
      </c>
      <c r="B13" s="71" t="s">
        <v>69</v>
      </c>
      <c r="C13" s="70" t="s">
        <v>161</v>
      </c>
      <c r="D13" s="71" t="s">
        <v>162</v>
      </c>
      <c r="E13" s="71" t="s">
        <v>72</v>
      </c>
    </row>
    <row r="14" spans="1:7" ht="12.75">
      <c r="A14" s="21">
        <v>0</v>
      </c>
      <c r="B14" s="17"/>
      <c r="C14" s="17"/>
      <c r="D14" s="17"/>
      <c r="E14" s="17">
        <f>B4</f>
        <v>150000</v>
      </c>
      <c r="G14" s="71" t="s">
        <v>163</v>
      </c>
    </row>
    <row r="15" spans="1:7" ht="12.75">
      <c r="A15" s="21">
        <f aca="true" t="shared" si="0" ref="A15:A78">A14+1</f>
        <v>1</v>
      </c>
      <c r="B15" s="17">
        <f aca="true" t="shared" si="1" ref="B15:B78">IF(E14&lt;1,0,IF(E14&gt;B$8,B$8,(1+D$2)*E14))</f>
        <v>1306.66</v>
      </c>
      <c r="C15" s="17">
        <f aca="true" t="shared" si="2" ref="C15:C78">IF(E14&lt;1,0,ROUND(E14*D$2,2))</f>
        <v>812.5</v>
      </c>
      <c r="D15" s="17">
        <f aca="true" t="shared" si="3" ref="D15:D78">IF(E14&lt;1,0,B15-C15+G15)</f>
        <v>494.1600000000001</v>
      </c>
      <c r="E15" s="17">
        <f aca="true" t="shared" si="4" ref="E15:E78">IF(E14&lt;1,0,E14-D15)</f>
        <v>149505.84</v>
      </c>
      <c r="G15" s="21"/>
    </row>
    <row r="16" spans="1:7" ht="12.75">
      <c r="A16" s="21">
        <f t="shared" si="0"/>
        <v>2</v>
      </c>
      <c r="B16" s="17">
        <f t="shared" si="1"/>
        <v>1306.66</v>
      </c>
      <c r="C16" s="17">
        <f t="shared" si="2"/>
        <v>809.82</v>
      </c>
      <c r="D16" s="17">
        <f t="shared" si="3"/>
        <v>496.84000000000003</v>
      </c>
      <c r="E16" s="17">
        <f t="shared" si="4"/>
        <v>149009</v>
      </c>
      <c r="G16" s="21"/>
    </row>
    <row r="17" spans="1:7" ht="12.75">
      <c r="A17" s="21">
        <f t="shared" si="0"/>
        <v>3</v>
      </c>
      <c r="B17" s="17">
        <f t="shared" si="1"/>
        <v>1306.66</v>
      </c>
      <c r="C17" s="17">
        <f t="shared" si="2"/>
        <v>807.13</v>
      </c>
      <c r="D17" s="17">
        <f t="shared" si="3"/>
        <v>499.5300000000001</v>
      </c>
      <c r="E17" s="17">
        <f t="shared" si="4"/>
        <v>148509.47</v>
      </c>
      <c r="G17" s="21"/>
    </row>
    <row r="18" spans="1:7" ht="12.75">
      <c r="A18" s="21">
        <f t="shared" si="0"/>
        <v>4</v>
      </c>
      <c r="B18" s="17">
        <f t="shared" si="1"/>
        <v>1306.66</v>
      </c>
      <c r="C18" s="17">
        <f t="shared" si="2"/>
        <v>804.43</v>
      </c>
      <c r="D18" s="17">
        <f t="shared" si="3"/>
        <v>502.23000000000013</v>
      </c>
      <c r="E18" s="17">
        <f t="shared" si="4"/>
        <v>148007.24</v>
      </c>
      <c r="G18" s="21"/>
    </row>
    <row r="19" spans="1:7" ht="12.75">
      <c r="A19" s="21">
        <f t="shared" si="0"/>
        <v>5</v>
      </c>
      <c r="B19" s="17">
        <f t="shared" si="1"/>
        <v>1306.66</v>
      </c>
      <c r="C19" s="17">
        <f t="shared" si="2"/>
        <v>801.71</v>
      </c>
      <c r="D19" s="17">
        <f t="shared" si="3"/>
        <v>504.95000000000005</v>
      </c>
      <c r="E19" s="17">
        <f t="shared" si="4"/>
        <v>147502.28999999998</v>
      </c>
      <c r="G19" s="21"/>
    </row>
    <row r="20" spans="1:7" ht="12.75">
      <c r="A20" s="21">
        <f t="shared" si="0"/>
        <v>6</v>
      </c>
      <c r="B20" s="17">
        <f t="shared" si="1"/>
        <v>1306.66</v>
      </c>
      <c r="C20" s="17">
        <f t="shared" si="2"/>
        <v>798.97</v>
      </c>
      <c r="D20" s="17">
        <f t="shared" si="3"/>
        <v>507.69000000000005</v>
      </c>
      <c r="E20" s="17">
        <f t="shared" si="4"/>
        <v>146994.59999999998</v>
      </c>
      <c r="G20" s="21"/>
    </row>
    <row r="21" spans="1:7" ht="12.75">
      <c r="A21" s="21">
        <f t="shared" si="0"/>
        <v>7</v>
      </c>
      <c r="B21" s="17">
        <f t="shared" si="1"/>
        <v>1306.66</v>
      </c>
      <c r="C21" s="17">
        <f t="shared" si="2"/>
        <v>796.22</v>
      </c>
      <c r="D21" s="17">
        <f t="shared" si="3"/>
        <v>510.44000000000005</v>
      </c>
      <c r="E21" s="17">
        <f t="shared" si="4"/>
        <v>146484.15999999997</v>
      </c>
      <c r="G21" s="21"/>
    </row>
    <row r="22" spans="1:7" ht="12.75">
      <c r="A22" s="21">
        <f t="shared" si="0"/>
        <v>8</v>
      </c>
      <c r="B22" s="17">
        <f t="shared" si="1"/>
        <v>1306.66</v>
      </c>
      <c r="C22" s="17">
        <f t="shared" si="2"/>
        <v>793.46</v>
      </c>
      <c r="D22" s="17">
        <f t="shared" si="3"/>
        <v>513.2</v>
      </c>
      <c r="E22" s="17">
        <f t="shared" si="4"/>
        <v>145970.95999999996</v>
      </c>
      <c r="G22" s="21"/>
    </row>
    <row r="23" spans="1:7" ht="12.75">
      <c r="A23" s="21">
        <f t="shared" si="0"/>
        <v>9</v>
      </c>
      <c r="B23" s="17">
        <f t="shared" si="1"/>
        <v>1306.66</v>
      </c>
      <c r="C23" s="17">
        <f t="shared" si="2"/>
        <v>790.68</v>
      </c>
      <c r="D23" s="17">
        <f t="shared" si="3"/>
        <v>515.9800000000001</v>
      </c>
      <c r="E23" s="17">
        <f t="shared" si="4"/>
        <v>145454.97999999995</v>
      </c>
      <c r="G23" s="21"/>
    </row>
    <row r="24" spans="1:7" ht="12.75">
      <c r="A24" s="21">
        <f t="shared" si="0"/>
        <v>10</v>
      </c>
      <c r="B24" s="17">
        <f t="shared" si="1"/>
        <v>1306.66</v>
      </c>
      <c r="C24" s="17">
        <f t="shared" si="2"/>
        <v>787.88</v>
      </c>
      <c r="D24" s="17">
        <f t="shared" si="3"/>
        <v>518.7800000000001</v>
      </c>
      <c r="E24" s="17">
        <f t="shared" si="4"/>
        <v>144936.19999999995</v>
      </c>
      <c r="G24" s="21"/>
    </row>
    <row r="25" spans="1:7" ht="12.75">
      <c r="A25" s="21">
        <f t="shared" si="0"/>
        <v>11</v>
      </c>
      <c r="B25" s="17">
        <f t="shared" si="1"/>
        <v>1306.66</v>
      </c>
      <c r="C25" s="17">
        <f t="shared" si="2"/>
        <v>785.07</v>
      </c>
      <c r="D25" s="17">
        <f t="shared" si="3"/>
        <v>521.59</v>
      </c>
      <c r="E25" s="17">
        <f t="shared" si="4"/>
        <v>144414.60999999996</v>
      </c>
      <c r="G25" s="21"/>
    </row>
    <row r="26" spans="1:7" ht="12.75">
      <c r="A26" s="21">
        <f t="shared" si="0"/>
        <v>12</v>
      </c>
      <c r="B26" s="17">
        <f t="shared" si="1"/>
        <v>1306.66</v>
      </c>
      <c r="C26" s="17">
        <f t="shared" si="2"/>
        <v>782.25</v>
      </c>
      <c r="D26" s="17">
        <f t="shared" si="3"/>
        <v>524.4100000000001</v>
      </c>
      <c r="E26" s="17">
        <f t="shared" si="4"/>
        <v>143890.19999999995</v>
      </c>
      <c r="G26" s="21"/>
    </row>
    <row r="27" spans="1:7" ht="12.75">
      <c r="A27" s="21">
        <f t="shared" si="0"/>
        <v>13</v>
      </c>
      <c r="B27" s="17">
        <f t="shared" si="1"/>
        <v>1306.66</v>
      </c>
      <c r="C27" s="17">
        <f t="shared" si="2"/>
        <v>779.41</v>
      </c>
      <c r="D27" s="17">
        <f t="shared" si="3"/>
        <v>527.2500000000001</v>
      </c>
      <c r="E27" s="17">
        <f t="shared" si="4"/>
        <v>143362.94999999995</v>
      </c>
      <c r="G27" s="21"/>
    </row>
    <row r="28" spans="1:7" ht="12.75">
      <c r="A28" s="21">
        <f t="shared" si="0"/>
        <v>14</v>
      </c>
      <c r="B28" s="17">
        <f t="shared" si="1"/>
        <v>1306.66</v>
      </c>
      <c r="C28" s="17">
        <f t="shared" si="2"/>
        <v>776.55</v>
      </c>
      <c r="D28" s="17">
        <f t="shared" si="3"/>
        <v>530.1100000000001</v>
      </c>
      <c r="E28" s="17">
        <f t="shared" si="4"/>
        <v>142832.83999999997</v>
      </c>
      <c r="G28" s="21"/>
    </row>
    <row r="29" spans="1:7" ht="12.75">
      <c r="A29" s="21">
        <f t="shared" si="0"/>
        <v>15</v>
      </c>
      <c r="B29" s="17">
        <f t="shared" si="1"/>
        <v>1306.66</v>
      </c>
      <c r="C29" s="17">
        <f t="shared" si="2"/>
        <v>773.68</v>
      </c>
      <c r="D29" s="17">
        <f t="shared" si="3"/>
        <v>532.9800000000001</v>
      </c>
      <c r="E29" s="17">
        <f t="shared" si="4"/>
        <v>142299.85999999996</v>
      </c>
      <c r="G29" s="21"/>
    </row>
    <row r="30" spans="1:7" ht="12.75">
      <c r="A30" s="21">
        <f t="shared" si="0"/>
        <v>16</v>
      </c>
      <c r="B30" s="17">
        <f t="shared" si="1"/>
        <v>1306.66</v>
      </c>
      <c r="C30" s="17">
        <f t="shared" si="2"/>
        <v>770.79</v>
      </c>
      <c r="D30" s="17">
        <f t="shared" si="3"/>
        <v>535.8700000000001</v>
      </c>
      <c r="E30" s="17">
        <f t="shared" si="4"/>
        <v>141763.98999999996</v>
      </c>
      <c r="G30" s="21"/>
    </row>
    <row r="31" spans="1:7" ht="12.75">
      <c r="A31" s="21">
        <f t="shared" si="0"/>
        <v>17</v>
      </c>
      <c r="B31" s="17">
        <f t="shared" si="1"/>
        <v>1306.66</v>
      </c>
      <c r="C31" s="17">
        <f t="shared" si="2"/>
        <v>767.89</v>
      </c>
      <c r="D31" s="17">
        <f t="shared" si="3"/>
        <v>538.7700000000001</v>
      </c>
      <c r="E31" s="17">
        <f t="shared" si="4"/>
        <v>141225.21999999997</v>
      </c>
      <c r="G31" s="21"/>
    </row>
    <row r="32" spans="1:7" ht="12.75">
      <c r="A32" s="21">
        <f t="shared" si="0"/>
        <v>18</v>
      </c>
      <c r="B32" s="17">
        <f t="shared" si="1"/>
        <v>1306.66</v>
      </c>
      <c r="C32" s="17">
        <f t="shared" si="2"/>
        <v>764.97</v>
      </c>
      <c r="D32" s="17">
        <f t="shared" si="3"/>
        <v>541.69</v>
      </c>
      <c r="E32" s="17">
        <f t="shared" si="4"/>
        <v>140683.52999999997</v>
      </c>
      <c r="G32" s="21"/>
    </row>
    <row r="33" spans="1:7" ht="12.75">
      <c r="A33" s="21">
        <f t="shared" si="0"/>
        <v>19</v>
      </c>
      <c r="B33" s="17">
        <f t="shared" si="1"/>
        <v>1306.66</v>
      </c>
      <c r="C33" s="17">
        <f t="shared" si="2"/>
        <v>762.04</v>
      </c>
      <c r="D33" s="17">
        <f t="shared" si="3"/>
        <v>544.6200000000001</v>
      </c>
      <c r="E33" s="17">
        <f t="shared" si="4"/>
        <v>140138.90999999997</v>
      </c>
      <c r="G33" s="21"/>
    </row>
    <row r="34" spans="1:7" ht="12.75">
      <c r="A34" s="21">
        <f t="shared" si="0"/>
        <v>20</v>
      </c>
      <c r="B34" s="17">
        <f t="shared" si="1"/>
        <v>1306.66</v>
      </c>
      <c r="C34" s="17">
        <f t="shared" si="2"/>
        <v>759.09</v>
      </c>
      <c r="D34" s="17">
        <f t="shared" si="3"/>
        <v>547.57</v>
      </c>
      <c r="E34" s="17">
        <f t="shared" si="4"/>
        <v>139591.33999999997</v>
      </c>
      <c r="G34" s="21"/>
    </row>
    <row r="35" spans="1:7" ht="12.75">
      <c r="A35" s="21">
        <f t="shared" si="0"/>
        <v>21</v>
      </c>
      <c r="B35" s="17">
        <f t="shared" si="1"/>
        <v>1306.66</v>
      </c>
      <c r="C35" s="17">
        <f t="shared" si="2"/>
        <v>756.12</v>
      </c>
      <c r="D35" s="17">
        <f t="shared" si="3"/>
        <v>550.5400000000001</v>
      </c>
      <c r="E35" s="17">
        <f t="shared" si="4"/>
        <v>139040.79999999996</v>
      </c>
      <c r="G35" s="21"/>
    </row>
    <row r="36" spans="1:7" ht="12.75">
      <c r="A36" s="21">
        <f t="shared" si="0"/>
        <v>22</v>
      </c>
      <c r="B36" s="17">
        <f t="shared" si="1"/>
        <v>1306.66</v>
      </c>
      <c r="C36" s="17">
        <f t="shared" si="2"/>
        <v>753.14</v>
      </c>
      <c r="D36" s="17">
        <f t="shared" si="3"/>
        <v>553.5200000000001</v>
      </c>
      <c r="E36" s="17">
        <f t="shared" si="4"/>
        <v>138487.27999999997</v>
      </c>
      <c r="G36" s="21"/>
    </row>
    <row r="37" spans="1:7" ht="12.75">
      <c r="A37" s="21">
        <f t="shared" si="0"/>
        <v>23</v>
      </c>
      <c r="B37" s="17">
        <f t="shared" si="1"/>
        <v>1306.66</v>
      </c>
      <c r="C37" s="17">
        <f t="shared" si="2"/>
        <v>750.14</v>
      </c>
      <c r="D37" s="17">
        <f t="shared" si="3"/>
        <v>556.5200000000001</v>
      </c>
      <c r="E37" s="17">
        <f t="shared" si="4"/>
        <v>137930.75999999998</v>
      </c>
      <c r="G37" s="21"/>
    </row>
    <row r="38" spans="1:7" ht="12.75">
      <c r="A38" s="21">
        <f t="shared" si="0"/>
        <v>24</v>
      </c>
      <c r="B38" s="17">
        <f t="shared" si="1"/>
        <v>1306.66</v>
      </c>
      <c r="C38" s="17">
        <f t="shared" si="2"/>
        <v>747.12</v>
      </c>
      <c r="D38" s="17">
        <f t="shared" si="3"/>
        <v>559.5400000000001</v>
      </c>
      <c r="E38" s="17">
        <f t="shared" si="4"/>
        <v>137371.21999999997</v>
      </c>
      <c r="G38" s="21"/>
    </row>
    <row r="39" spans="1:7" ht="12.75">
      <c r="A39" s="21">
        <f t="shared" si="0"/>
        <v>25</v>
      </c>
      <c r="B39" s="17">
        <f t="shared" si="1"/>
        <v>1306.66</v>
      </c>
      <c r="C39" s="17">
        <f t="shared" si="2"/>
        <v>744.09</v>
      </c>
      <c r="D39" s="17">
        <f t="shared" si="3"/>
        <v>562.57</v>
      </c>
      <c r="E39" s="17">
        <f t="shared" si="4"/>
        <v>136808.64999999997</v>
      </c>
      <c r="G39" s="21"/>
    </row>
    <row r="40" spans="1:7" ht="12.75">
      <c r="A40" s="21">
        <f t="shared" si="0"/>
        <v>26</v>
      </c>
      <c r="B40" s="17">
        <f t="shared" si="1"/>
        <v>1306.66</v>
      </c>
      <c r="C40" s="17">
        <f t="shared" si="2"/>
        <v>741.05</v>
      </c>
      <c r="D40" s="17">
        <f t="shared" si="3"/>
        <v>565.6100000000001</v>
      </c>
      <c r="E40" s="17">
        <f t="shared" si="4"/>
        <v>136243.03999999998</v>
      </c>
      <c r="G40" s="21"/>
    </row>
    <row r="41" spans="1:7" ht="12.75">
      <c r="A41" s="21">
        <f t="shared" si="0"/>
        <v>27</v>
      </c>
      <c r="B41" s="17">
        <f t="shared" si="1"/>
        <v>1306.66</v>
      </c>
      <c r="C41" s="17">
        <f t="shared" si="2"/>
        <v>737.98</v>
      </c>
      <c r="D41" s="17">
        <f t="shared" si="3"/>
        <v>568.6800000000001</v>
      </c>
      <c r="E41" s="17">
        <f t="shared" si="4"/>
        <v>135674.36</v>
      </c>
      <c r="G41" s="21"/>
    </row>
    <row r="42" spans="1:7" ht="12.75">
      <c r="A42" s="21">
        <f t="shared" si="0"/>
        <v>28</v>
      </c>
      <c r="B42" s="17">
        <f t="shared" si="1"/>
        <v>1306.66</v>
      </c>
      <c r="C42" s="17">
        <f t="shared" si="2"/>
        <v>734.9</v>
      </c>
      <c r="D42" s="17">
        <f t="shared" si="3"/>
        <v>571.7600000000001</v>
      </c>
      <c r="E42" s="17">
        <f t="shared" si="4"/>
        <v>135102.59999999998</v>
      </c>
      <c r="G42" s="21"/>
    </row>
    <row r="43" spans="1:7" ht="12.75">
      <c r="A43" s="21">
        <f t="shared" si="0"/>
        <v>29</v>
      </c>
      <c r="B43" s="17">
        <f t="shared" si="1"/>
        <v>1306.66</v>
      </c>
      <c r="C43" s="17">
        <f t="shared" si="2"/>
        <v>731.81</v>
      </c>
      <c r="D43" s="17">
        <f t="shared" si="3"/>
        <v>574.8500000000001</v>
      </c>
      <c r="E43" s="17">
        <f t="shared" si="4"/>
        <v>134527.74999999997</v>
      </c>
      <c r="G43" s="21"/>
    </row>
    <row r="44" spans="1:7" ht="12.75">
      <c r="A44" s="21">
        <f t="shared" si="0"/>
        <v>30</v>
      </c>
      <c r="B44" s="17">
        <f t="shared" si="1"/>
        <v>1306.66</v>
      </c>
      <c r="C44" s="17">
        <f t="shared" si="2"/>
        <v>728.69</v>
      </c>
      <c r="D44" s="17">
        <f t="shared" si="3"/>
        <v>577.97</v>
      </c>
      <c r="E44" s="17">
        <f t="shared" si="4"/>
        <v>133949.77999999997</v>
      </c>
      <c r="G44" s="21"/>
    </row>
    <row r="45" spans="1:7" ht="12.75">
      <c r="A45" s="21">
        <f t="shared" si="0"/>
        <v>31</v>
      </c>
      <c r="B45" s="17">
        <f t="shared" si="1"/>
        <v>1306.66</v>
      </c>
      <c r="C45" s="17">
        <f t="shared" si="2"/>
        <v>725.56</v>
      </c>
      <c r="D45" s="17">
        <f t="shared" si="3"/>
        <v>581.1000000000001</v>
      </c>
      <c r="E45" s="17">
        <f t="shared" si="4"/>
        <v>133368.67999999996</v>
      </c>
      <c r="G45" s="21"/>
    </row>
    <row r="46" spans="1:7" ht="12.75">
      <c r="A46" s="21">
        <f t="shared" si="0"/>
        <v>32</v>
      </c>
      <c r="B46" s="17">
        <f t="shared" si="1"/>
        <v>1306.66</v>
      </c>
      <c r="C46" s="17">
        <f t="shared" si="2"/>
        <v>722.41</v>
      </c>
      <c r="D46" s="17">
        <f t="shared" si="3"/>
        <v>584.2500000000001</v>
      </c>
      <c r="E46" s="17">
        <f t="shared" si="4"/>
        <v>132784.42999999996</v>
      </c>
      <c r="G46" s="21"/>
    </row>
    <row r="47" spans="1:7" ht="12.75">
      <c r="A47" s="21">
        <f t="shared" si="0"/>
        <v>33</v>
      </c>
      <c r="B47" s="17">
        <f t="shared" si="1"/>
        <v>1306.66</v>
      </c>
      <c r="C47" s="17">
        <f t="shared" si="2"/>
        <v>719.25</v>
      </c>
      <c r="D47" s="17">
        <f t="shared" si="3"/>
        <v>587.4100000000001</v>
      </c>
      <c r="E47" s="17">
        <f t="shared" si="4"/>
        <v>132197.01999999996</v>
      </c>
      <c r="G47" s="21"/>
    </row>
    <row r="48" spans="1:7" ht="12.75">
      <c r="A48" s="21">
        <f t="shared" si="0"/>
        <v>34</v>
      </c>
      <c r="B48" s="17">
        <f t="shared" si="1"/>
        <v>1306.66</v>
      </c>
      <c r="C48" s="17">
        <f t="shared" si="2"/>
        <v>716.07</v>
      </c>
      <c r="D48" s="17">
        <f t="shared" si="3"/>
        <v>590.59</v>
      </c>
      <c r="E48" s="17">
        <f t="shared" si="4"/>
        <v>131606.42999999996</v>
      </c>
      <c r="G48" s="21"/>
    </row>
    <row r="49" spans="1:7" ht="12.75">
      <c r="A49" s="21">
        <f t="shared" si="0"/>
        <v>35</v>
      </c>
      <c r="B49" s="17">
        <f t="shared" si="1"/>
        <v>1306.66</v>
      </c>
      <c r="C49" s="17">
        <f t="shared" si="2"/>
        <v>712.87</v>
      </c>
      <c r="D49" s="17">
        <f t="shared" si="3"/>
        <v>593.7900000000001</v>
      </c>
      <c r="E49" s="17">
        <f t="shared" si="4"/>
        <v>131012.63999999997</v>
      </c>
      <c r="G49" s="21"/>
    </row>
    <row r="50" spans="1:7" ht="12.75">
      <c r="A50" s="21">
        <f t="shared" si="0"/>
        <v>36</v>
      </c>
      <c r="B50" s="17">
        <f t="shared" si="1"/>
        <v>1306.66</v>
      </c>
      <c r="C50" s="17">
        <f t="shared" si="2"/>
        <v>709.65</v>
      </c>
      <c r="D50" s="17">
        <f t="shared" si="3"/>
        <v>597.0100000000001</v>
      </c>
      <c r="E50" s="17">
        <f t="shared" si="4"/>
        <v>130415.62999999998</v>
      </c>
      <c r="G50" s="21"/>
    </row>
    <row r="51" spans="1:7" ht="12.75">
      <c r="A51" s="21">
        <f t="shared" si="0"/>
        <v>37</v>
      </c>
      <c r="B51" s="17">
        <f t="shared" si="1"/>
        <v>1306.66</v>
      </c>
      <c r="C51" s="17">
        <f t="shared" si="2"/>
        <v>706.42</v>
      </c>
      <c r="D51" s="17">
        <f t="shared" si="3"/>
        <v>600.2400000000001</v>
      </c>
      <c r="E51" s="17">
        <f t="shared" si="4"/>
        <v>129815.38999999997</v>
      </c>
      <c r="G51" s="21"/>
    </row>
    <row r="52" spans="1:7" ht="12.75">
      <c r="A52" s="21">
        <f t="shared" si="0"/>
        <v>38</v>
      </c>
      <c r="B52" s="17">
        <f t="shared" si="1"/>
        <v>1306.66</v>
      </c>
      <c r="C52" s="17">
        <f t="shared" si="2"/>
        <v>703.17</v>
      </c>
      <c r="D52" s="17">
        <f t="shared" si="3"/>
        <v>603.4900000000001</v>
      </c>
      <c r="E52" s="17">
        <f t="shared" si="4"/>
        <v>129211.89999999997</v>
      </c>
      <c r="G52" s="21"/>
    </row>
    <row r="53" spans="1:7" ht="12.75">
      <c r="A53" s="21">
        <f t="shared" si="0"/>
        <v>39</v>
      </c>
      <c r="B53" s="17">
        <f t="shared" si="1"/>
        <v>1306.66</v>
      </c>
      <c r="C53" s="17">
        <f t="shared" si="2"/>
        <v>699.9</v>
      </c>
      <c r="D53" s="17">
        <f t="shared" si="3"/>
        <v>606.7600000000001</v>
      </c>
      <c r="E53" s="17">
        <f t="shared" si="4"/>
        <v>128605.13999999997</v>
      </c>
      <c r="G53" s="21"/>
    </row>
    <row r="54" spans="1:7" ht="12.75">
      <c r="A54" s="21">
        <f t="shared" si="0"/>
        <v>40</v>
      </c>
      <c r="B54" s="17">
        <f t="shared" si="1"/>
        <v>1306.66</v>
      </c>
      <c r="C54" s="17">
        <f t="shared" si="2"/>
        <v>696.61</v>
      </c>
      <c r="D54" s="17">
        <f t="shared" si="3"/>
        <v>610.0500000000001</v>
      </c>
      <c r="E54" s="17">
        <f t="shared" si="4"/>
        <v>127995.08999999997</v>
      </c>
      <c r="G54" s="21"/>
    </row>
    <row r="55" spans="1:7" ht="12.75">
      <c r="A55" s="21">
        <f t="shared" si="0"/>
        <v>41</v>
      </c>
      <c r="B55" s="17">
        <f t="shared" si="1"/>
        <v>1306.66</v>
      </c>
      <c r="C55" s="17">
        <f t="shared" si="2"/>
        <v>693.31</v>
      </c>
      <c r="D55" s="17">
        <f t="shared" si="3"/>
        <v>613.3500000000001</v>
      </c>
      <c r="E55" s="17">
        <f t="shared" si="4"/>
        <v>127381.73999999996</v>
      </c>
      <c r="G55" s="21"/>
    </row>
    <row r="56" spans="1:7" ht="12.75">
      <c r="A56" s="21">
        <f t="shared" si="0"/>
        <v>42</v>
      </c>
      <c r="B56" s="17">
        <f t="shared" si="1"/>
        <v>1306.66</v>
      </c>
      <c r="C56" s="17">
        <f t="shared" si="2"/>
        <v>689.98</v>
      </c>
      <c r="D56" s="17">
        <f t="shared" si="3"/>
        <v>616.6800000000001</v>
      </c>
      <c r="E56" s="17">
        <f t="shared" si="4"/>
        <v>126765.05999999997</v>
      </c>
      <c r="G56" s="21"/>
    </row>
    <row r="57" spans="1:7" ht="12.75">
      <c r="A57" s="21">
        <f t="shared" si="0"/>
        <v>43</v>
      </c>
      <c r="B57" s="17">
        <f t="shared" si="1"/>
        <v>1306.66</v>
      </c>
      <c r="C57" s="17">
        <f t="shared" si="2"/>
        <v>686.64</v>
      </c>
      <c r="D57" s="17">
        <f t="shared" si="3"/>
        <v>620.0200000000001</v>
      </c>
      <c r="E57" s="17">
        <f t="shared" si="4"/>
        <v>126145.03999999996</v>
      </c>
      <c r="G57" s="21"/>
    </row>
    <row r="58" spans="1:7" ht="12.75">
      <c r="A58" s="21">
        <f t="shared" si="0"/>
        <v>44</v>
      </c>
      <c r="B58" s="17">
        <f t="shared" si="1"/>
        <v>1306.66</v>
      </c>
      <c r="C58" s="17">
        <f t="shared" si="2"/>
        <v>683.29</v>
      </c>
      <c r="D58" s="17">
        <f t="shared" si="3"/>
        <v>623.3700000000001</v>
      </c>
      <c r="E58" s="17">
        <f t="shared" si="4"/>
        <v>125521.66999999997</v>
      </c>
      <c r="G58" s="21"/>
    </row>
    <row r="59" spans="1:7" ht="12.75">
      <c r="A59" s="21">
        <f t="shared" si="0"/>
        <v>45</v>
      </c>
      <c r="B59" s="17">
        <f t="shared" si="1"/>
        <v>1306.66</v>
      </c>
      <c r="C59" s="17">
        <f t="shared" si="2"/>
        <v>679.91</v>
      </c>
      <c r="D59" s="17">
        <f t="shared" si="3"/>
        <v>626.7500000000001</v>
      </c>
      <c r="E59" s="17">
        <f t="shared" si="4"/>
        <v>124894.91999999997</v>
      </c>
      <c r="G59" s="21"/>
    </row>
    <row r="60" spans="1:7" ht="12.75">
      <c r="A60" s="21">
        <f t="shared" si="0"/>
        <v>46</v>
      </c>
      <c r="B60" s="17">
        <f t="shared" si="1"/>
        <v>1306.66</v>
      </c>
      <c r="C60" s="17">
        <f t="shared" si="2"/>
        <v>676.51</v>
      </c>
      <c r="D60" s="17">
        <f t="shared" si="3"/>
        <v>630.1500000000001</v>
      </c>
      <c r="E60" s="17">
        <f t="shared" si="4"/>
        <v>124264.76999999997</v>
      </c>
      <c r="G60" s="21"/>
    </row>
    <row r="61" spans="1:7" ht="12.75">
      <c r="A61" s="21">
        <f t="shared" si="0"/>
        <v>47</v>
      </c>
      <c r="B61" s="17">
        <f t="shared" si="1"/>
        <v>1306.66</v>
      </c>
      <c r="C61" s="17">
        <f t="shared" si="2"/>
        <v>673.1</v>
      </c>
      <c r="D61" s="17">
        <f t="shared" si="3"/>
        <v>633.5600000000001</v>
      </c>
      <c r="E61" s="17">
        <f t="shared" si="4"/>
        <v>123631.20999999998</v>
      </c>
      <c r="G61" s="21"/>
    </row>
    <row r="62" spans="1:7" ht="12.75">
      <c r="A62" s="21">
        <f t="shared" si="0"/>
        <v>48</v>
      </c>
      <c r="B62" s="17">
        <f t="shared" si="1"/>
        <v>1306.66</v>
      </c>
      <c r="C62" s="17">
        <f t="shared" si="2"/>
        <v>669.67</v>
      </c>
      <c r="D62" s="17">
        <f t="shared" si="3"/>
        <v>636.9900000000001</v>
      </c>
      <c r="E62" s="17">
        <f t="shared" si="4"/>
        <v>122994.21999999997</v>
      </c>
      <c r="G62" s="21"/>
    </row>
    <row r="63" spans="1:7" ht="12.75">
      <c r="A63" s="21">
        <f t="shared" si="0"/>
        <v>49</v>
      </c>
      <c r="B63" s="17">
        <f t="shared" si="1"/>
        <v>1306.66</v>
      </c>
      <c r="C63" s="17">
        <f t="shared" si="2"/>
        <v>666.22</v>
      </c>
      <c r="D63" s="17">
        <f t="shared" si="3"/>
        <v>640.44</v>
      </c>
      <c r="E63" s="17">
        <f t="shared" si="4"/>
        <v>122353.77999999997</v>
      </c>
      <c r="G63" s="21"/>
    </row>
    <row r="64" spans="1:7" ht="12.75">
      <c r="A64" s="21">
        <f t="shared" si="0"/>
        <v>50</v>
      </c>
      <c r="B64" s="17">
        <f t="shared" si="1"/>
        <v>1306.66</v>
      </c>
      <c r="C64" s="17">
        <f t="shared" si="2"/>
        <v>662.75</v>
      </c>
      <c r="D64" s="17">
        <f t="shared" si="3"/>
        <v>643.9100000000001</v>
      </c>
      <c r="E64" s="17">
        <f t="shared" si="4"/>
        <v>121709.86999999997</v>
      </c>
      <c r="G64" s="21"/>
    </row>
    <row r="65" spans="1:7" ht="12.75">
      <c r="A65" s="21">
        <f t="shared" si="0"/>
        <v>51</v>
      </c>
      <c r="B65" s="17">
        <f t="shared" si="1"/>
        <v>1306.66</v>
      </c>
      <c r="C65" s="17">
        <f t="shared" si="2"/>
        <v>659.26</v>
      </c>
      <c r="D65" s="17">
        <f t="shared" si="3"/>
        <v>647.4000000000001</v>
      </c>
      <c r="E65" s="17">
        <f t="shared" si="4"/>
        <v>121062.46999999997</v>
      </c>
      <c r="G65" s="21"/>
    </row>
    <row r="66" spans="1:7" ht="12.75">
      <c r="A66" s="21">
        <f t="shared" si="0"/>
        <v>52</v>
      </c>
      <c r="B66" s="17">
        <f t="shared" si="1"/>
        <v>1306.66</v>
      </c>
      <c r="C66" s="17">
        <f t="shared" si="2"/>
        <v>655.76</v>
      </c>
      <c r="D66" s="17">
        <f t="shared" si="3"/>
        <v>650.9000000000001</v>
      </c>
      <c r="E66" s="17">
        <f t="shared" si="4"/>
        <v>120411.56999999998</v>
      </c>
      <c r="G66" s="21"/>
    </row>
    <row r="67" spans="1:7" ht="12.75">
      <c r="A67" s="21">
        <f t="shared" si="0"/>
        <v>53</v>
      </c>
      <c r="B67" s="17">
        <f t="shared" si="1"/>
        <v>1306.66</v>
      </c>
      <c r="C67" s="17">
        <f t="shared" si="2"/>
        <v>652.23</v>
      </c>
      <c r="D67" s="17">
        <f t="shared" si="3"/>
        <v>654.4300000000001</v>
      </c>
      <c r="E67" s="17">
        <f t="shared" si="4"/>
        <v>119757.13999999998</v>
      </c>
      <c r="G67" s="21"/>
    </row>
    <row r="68" spans="1:7" ht="12.75">
      <c r="A68" s="21">
        <f t="shared" si="0"/>
        <v>54</v>
      </c>
      <c r="B68" s="17">
        <f t="shared" si="1"/>
        <v>1306.66</v>
      </c>
      <c r="C68" s="17">
        <f t="shared" si="2"/>
        <v>648.68</v>
      </c>
      <c r="D68" s="17">
        <f t="shared" si="3"/>
        <v>657.9800000000001</v>
      </c>
      <c r="E68" s="17">
        <f t="shared" si="4"/>
        <v>119099.15999999999</v>
      </c>
      <c r="G68" s="21"/>
    </row>
    <row r="69" spans="1:7" ht="12.75">
      <c r="A69" s="21">
        <f t="shared" si="0"/>
        <v>55</v>
      </c>
      <c r="B69" s="17">
        <f t="shared" si="1"/>
        <v>1306.66</v>
      </c>
      <c r="C69" s="17">
        <f t="shared" si="2"/>
        <v>645.12</v>
      </c>
      <c r="D69" s="17">
        <f t="shared" si="3"/>
        <v>661.5400000000001</v>
      </c>
      <c r="E69" s="17">
        <f t="shared" si="4"/>
        <v>118437.62</v>
      </c>
      <c r="G69" s="21"/>
    </row>
    <row r="70" spans="1:7" ht="12.75">
      <c r="A70" s="21">
        <f t="shared" si="0"/>
        <v>56</v>
      </c>
      <c r="B70" s="17">
        <f t="shared" si="1"/>
        <v>1306.66</v>
      </c>
      <c r="C70" s="17">
        <f t="shared" si="2"/>
        <v>641.54</v>
      </c>
      <c r="D70" s="17">
        <f t="shared" si="3"/>
        <v>665.1200000000001</v>
      </c>
      <c r="E70" s="17">
        <f t="shared" si="4"/>
        <v>117772.5</v>
      </c>
      <c r="G70" s="21"/>
    </row>
    <row r="71" spans="1:7" ht="12.75">
      <c r="A71" s="21">
        <f t="shared" si="0"/>
        <v>57</v>
      </c>
      <c r="B71" s="17">
        <f t="shared" si="1"/>
        <v>1306.66</v>
      </c>
      <c r="C71" s="17">
        <f t="shared" si="2"/>
        <v>637.93</v>
      </c>
      <c r="D71" s="17">
        <f t="shared" si="3"/>
        <v>668.7300000000001</v>
      </c>
      <c r="E71" s="17">
        <f t="shared" si="4"/>
        <v>117103.77</v>
      </c>
      <c r="G71" s="21"/>
    </row>
    <row r="72" spans="1:7" ht="12.75">
      <c r="A72" s="21">
        <f t="shared" si="0"/>
        <v>58</v>
      </c>
      <c r="B72" s="17">
        <f t="shared" si="1"/>
        <v>1306.66</v>
      </c>
      <c r="C72" s="17">
        <f t="shared" si="2"/>
        <v>634.31</v>
      </c>
      <c r="D72" s="17">
        <f t="shared" si="3"/>
        <v>672.3500000000001</v>
      </c>
      <c r="E72" s="17">
        <f t="shared" si="4"/>
        <v>116431.42</v>
      </c>
      <c r="G72" s="21"/>
    </row>
    <row r="73" spans="1:7" ht="12.75">
      <c r="A73" s="21">
        <f t="shared" si="0"/>
        <v>59</v>
      </c>
      <c r="B73" s="17">
        <f t="shared" si="1"/>
        <v>1306.66</v>
      </c>
      <c r="C73" s="17">
        <f t="shared" si="2"/>
        <v>630.67</v>
      </c>
      <c r="D73" s="17">
        <f t="shared" si="3"/>
        <v>675.9900000000001</v>
      </c>
      <c r="E73" s="17">
        <f t="shared" si="4"/>
        <v>115755.43</v>
      </c>
      <c r="G73" s="21"/>
    </row>
    <row r="74" spans="1:7" ht="12.75">
      <c r="A74" s="21">
        <f t="shared" si="0"/>
        <v>60</v>
      </c>
      <c r="B74" s="17">
        <f t="shared" si="1"/>
        <v>1306.66</v>
      </c>
      <c r="C74" s="17">
        <f t="shared" si="2"/>
        <v>627.01</v>
      </c>
      <c r="D74" s="17">
        <f t="shared" si="3"/>
        <v>679.6500000000001</v>
      </c>
      <c r="E74" s="17">
        <f t="shared" si="4"/>
        <v>115075.78</v>
      </c>
      <c r="G74" s="21"/>
    </row>
    <row r="75" spans="1:7" ht="12.75">
      <c r="A75" s="21">
        <f t="shared" si="0"/>
        <v>61</v>
      </c>
      <c r="B75" s="17">
        <f t="shared" si="1"/>
        <v>1306.66</v>
      </c>
      <c r="C75" s="17">
        <f t="shared" si="2"/>
        <v>623.33</v>
      </c>
      <c r="D75" s="17">
        <f t="shared" si="3"/>
        <v>683.33</v>
      </c>
      <c r="E75" s="17">
        <f t="shared" si="4"/>
        <v>114392.45</v>
      </c>
      <c r="G75" s="21"/>
    </row>
    <row r="76" spans="1:7" ht="12.75">
      <c r="A76" s="21">
        <f t="shared" si="0"/>
        <v>62</v>
      </c>
      <c r="B76" s="17">
        <f t="shared" si="1"/>
        <v>1306.66</v>
      </c>
      <c r="C76" s="17">
        <f t="shared" si="2"/>
        <v>619.63</v>
      </c>
      <c r="D76" s="17">
        <f t="shared" si="3"/>
        <v>687.0300000000001</v>
      </c>
      <c r="E76" s="17">
        <f t="shared" si="4"/>
        <v>113705.42</v>
      </c>
      <c r="G76" s="21"/>
    </row>
    <row r="77" spans="1:7" ht="12.75">
      <c r="A77" s="21">
        <f t="shared" si="0"/>
        <v>63</v>
      </c>
      <c r="B77" s="17">
        <f t="shared" si="1"/>
        <v>1306.66</v>
      </c>
      <c r="C77" s="17">
        <f t="shared" si="2"/>
        <v>615.9</v>
      </c>
      <c r="D77" s="17">
        <f t="shared" si="3"/>
        <v>690.7600000000001</v>
      </c>
      <c r="E77" s="17">
        <f t="shared" si="4"/>
        <v>113014.66</v>
      </c>
      <c r="G77" s="21"/>
    </row>
    <row r="78" spans="1:7" ht="12.75">
      <c r="A78" s="21">
        <f t="shared" si="0"/>
        <v>64</v>
      </c>
      <c r="B78" s="17">
        <f t="shared" si="1"/>
        <v>1306.66</v>
      </c>
      <c r="C78" s="17">
        <f t="shared" si="2"/>
        <v>612.16</v>
      </c>
      <c r="D78" s="17">
        <f t="shared" si="3"/>
        <v>694.5000000000001</v>
      </c>
      <c r="E78" s="17">
        <f t="shared" si="4"/>
        <v>112320.16</v>
      </c>
      <c r="G78" s="21"/>
    </row>
    <row r="79" spans="1:7" ht="12.75">
      <c r="A79" s="21">
        <f aca="true" t="shared" si="5" ref="A79:A142">A78+1</f>
        <v>65</v>
      </c>
      <c r="B79" s="17">
        <f aca="true" t="shared" si="6" ref="B79:B142">IF(E78&lt;1,0,IF(E78&gt;B$8,B$8,(1+D$2)*E78))</f>
        <v>1306.66</v>
      </c>
      <c r="C79" s="17">
        <f aca="true" t="shared" si="7" ref="C79:C142">IF(E78&lt;1,0,ROUND(E78*D$2,2))</f>
        <v>608.4</v>
      </c>
      <c r="D79" s="17">
        <f aca="true" t="shared" si="8" ref="D79:D142">IF(E78&lt;1,0,B79-C79+G79)</f>
        <v>698.2600000000001</v>
      </c>
      <c r="E79" s="17">
        <f aca="true" t="shared" si="9" ref="E79:E142">IF(E78&lt;1,0,E78-D79)</f>
        <v>111621.90000000001</v>
      </c>
      <c r="G79" s="21"/>
    </row>
    <row r="80" spans="1:7" ht="12.75">
      <c r="A80" s="21">
        <f t="shared" si="5"/>
        <v>66</v>
      </c>
      <c r="B80" s="17">
        <f t="shared" si="6"/>
        <v>1306.66</v>
      </c>
      <c r="C80" s="17">
        <f t="shared" si="7"/>
        <v>604.62</v>
      </c>
      <c r="D80" s="17">
        <f t="shared" si="8"/>
        <v>702.0400000000001</v>
      </c>
      <c r="E80" s="17">
        <f t="shared" si="9"/>
        <v>110919.86000000002</v>
      </c>
      <c r="G80" s="21"/>
    </row>
    <row r="81" spans="1:7" ht="12.75">
      <c r="A81" s="21">
        <f t="shared" si="5"/>
        <v>67</v>
      </c>
      <c r="B81" s="17">
        <f t="shared" si="6"/>
        <v>1306.66</v>
      </c>
      <c r="C81" s="17">
        <f t="shared" si="7"/>
        <v>600.82</v>
      </c>
      <c r="D81" s="17">
        <f t="shared" si="8"/>
        <v>705.84</v>
      </c>
      <c r="E81" s="17">
        <f t="shared" si="9"/>
        <v>110214.02000000002</v>
      </c>
      <c r="G81" s="21"/>
    </row>
    <row r="82" spans="1:7" ht="12.75">
      <c r="A82" s="21">
        <f t="shared" si="5"/>
        <v>68</v>
      </c>
      <c r="B82" s="17">
        <f t="shared" si="6"/>
        <v>1306.66</v>
      </c>
      <c r="C82" s="17">
        <f t="shared" si="7"/>
        <v>596.99</v>
      </c>
      <c r="D82" s="17">
        <f t="shared" si="8"/>
        <v>709.6700000000001</v>
      </c>
      <c r="E82" s="17">
        <f t="shared" si="9"/>
        <v>109504.35000000002</v>
      </c>
      <c r="G82" s="21"/>
    </row>
    <row r="83" spans="1:7" ht="12.75">
      <c r="A83" s="21">
        <f t="shared" si="5"/>
        <v>69</v>
      </c>
      <c r="B83" s="17">
        <f t="shared" si="6"/>
        <v>1306.66</v>
      </c>
      <c r="C83" s="17">
        <f t="shared" si="7"/>
        <v>593.15</v>
      </c>
      <c r="D83" s="17">
        <f t="shared" si="8"/>
        <v>713.5100000000001</v>
      </c>
      <c r="E83" s="17">
        <f t="shared" si="9"/>
        <v>108790.84000000003</v>
      </c>
      <c r="G83" s="21"/>
    </row>
    <row r="84" spans="1:7" ht="12.75">
      <c r="A84" s="21">
        <f t="shared" si="5"/>
        <v>70</v>
      </c>
      <c r="B84" s="17">
        <f t="shared" si="6"/>
        <v>1306.66</v>
      </c>
      <c r="C84" s="17">
        <f t="shared" si="7"/>
        <v>589.28</v>
      </c>
      <c r="D84" s="17">
        <f t="shared" si="8"/>
        <v>717.3800000000001</v>
      </c>
      <c r="E84" s="17">
        <f t="shared" si="9"/>
        <v>108073.46000000002</v>
      </c>
      <c r="G84" s="21"/>
    </row>
    <row r="85" spans="1:7" ht="12.75">
      <c r="A85" s="21">
        <f t="shared" si="5"/>
        <v>71</v>
      </c>
      <c r="B85" s="17">
        <f t="shared" si="6"/>
        <v>1306.66</v>
      </c>
      <c r="C85" s="17">
        <f t="shared" si="7"/>
        <v>585.4</v>
      </c>
      <c r="D85" s="17">
        <f t="shared" si="8"/>
        <v>721.2600000000001</v>
      </c>
      <c r="E85" s="17">
        <f t="shared" si="9"/>
        <v>107352.20000000003</v>
      </c>
      <c r="G85" s="21"/>
    </row>
    <row r="86" spans="1:7" ht="12.75">
      <c r="A86" s="21">
        <f t="shared" si="5"/>
        <v>72</v>
      </c>
      <c r="B86" s="17">
        <f t="shared" si="6"/>
        <v>1306.66</v>
      </c>
      <c r="C86" s="17">
        <f t="shared" si="7"/>
        <v>581.49</v>
      </c>
      <c r="D86" s="17">
        <f t="shared" si="8"/>
        <v>725.1700000000001</v>
      </c>
      <c r="E86" s="17">
        <f t="shared" si="9"/>
        <v>106627.03000000003</v>
      </c>
      <c r="G86" s="21"/>
    </row>
    <row r="87" spans="1:7" ht="12.75">
      <c r="A87" s="21">
        <f t="shared" si="5"/>
        <v>73</v>
      </c>
      <c r="B87" s="17">
        <f t="shared" si="6"/>
        <v>1306.66</v>
      </c>
      <c r="C87" s="17">
        <f t="shared" si="7"/>
        <v>577.56</v>
      </c>
      <c r="D87" s="17">
        <f t="shared" si="8"/>
        <v>729.1000000000001</v>
      </c>
      <c r="E87" s="17">
        <f t="shared" si="9"/>
        <v>105897.93000000002</v>
      </c>
      <c r="G87" s="21"/>
    </row>
    <row r="88" spans="1:7" ht="12.75">
      <c r="A88" s="21">
        <f t="shared" si="5"/>
        <v>74</v>
      </c>
      <c r="B88" s="17">
        <f t="shared" si="6"/>
        <v>1306.66</v>
      </c>
      <c r="C88" s="17">
        <f t="shared" si="7"/>
        <v>573.61</v>
      </c>
      <c r="D88" s="17">
        <f t="shared" si="8"/>
        <v>733.0500000000001</v>
      </c>
      <c r="E88" s="17">
        <f t="shared" si="9"/>
        <v>105164.88000000002</v>
      </c>
      <c r="G88" s="21"/>
    </row>
    <row r="89" spans="1:7" ht="12.75">
      <c r="A89" s="21">
        <f t="shared" si="5"/>
        <v>75</v>
      </c>
      <c r="B89" s="17">
        <f t="shared" si="6"/>
        <v>1306.66</v>
      </c>
      <c r="C89" s="17">
        <f t="shared" si="7"/>
        <v>569.64</v>
      </c>
      <c r="D89" s="17">
        <f t="shared" si="8"/>
        <v>737.0200000000001</v>
      </c>
      <c r="E89" s="17">
        <f t="shared" si="9"/>
        <v>104427.86000000002</v>
      </c>
      <c r="G89" s="21"/>
    </row>
    <row r="90" spans="1:7" ht="12.75">
      <c r="A90" s="21">
        <f t="shared" si="5"/>
        <v>76</v>
      </c>
      <c r="B90" s="17">
        <f t="shared" si="6"/>
        <v>1306.66</v>
      </c>
      <c r="C90" s="17">
        <f t="shared" si="7"/>
        <v>565.65</v>
      </c>
      <c r="D90" s="17">
        <f t="shared" si="8"/>
        <v>741.0100000000001</v>
      </c>
      <c r="E90" s="17">
        <f t="shared" si="9"/>
        <v>103686.85000000002</v>
      </c>
      <c r="G90" s="21"/>
    </row>
    <row r="91" spans="1:7" ht="12.75">
      <c r="A91" s="21">
        <f t="shared" si="5"/>
        <v>77</v>
      </c>
      <c r="B91" s="17">
        <f t="shared" si="6"/>
        <v>1306.66</v>
      </c>
      <c r="C91" s="17">
        <f t="shared" si="7"/>
        <v>561.64</v>
      </c>
      <c r="D91" s="17">
        <f t="shared" si="8"/>
        <v>745.0200000000001</v>
      </c>
      <c r="E91" s="17">
        <f t="shared" si="9"/>
        <v>102941.83000000002</v>
      </c>
      <c r="G91" s="21"/>
    </row>
    <row r="92" spans="1:7" ht="12.75">
      <c r="A92" s="21">
        <f t="shared" si="5"/>
        <v>78</v>
      </c>
      <c r="B92" s="17">
        <f t="shared" si="6"/>
        <v>1306.66</v>
      </c>
      <c r="C92" s="17">
        <f t="shared" si="7"/>
        <v>557.6</v>
      </c>
      <c r="D92" s="17">
        <f t="shared" si="8"/>
        <v>749.0600000000001</v>
      </c>
      <c r="E92" s="17">
        <f t="shared" si="9"/>
        <v>102192.77000000002</v>
      </c>
      <c r="G92" s="21"/>
    </row>
    <row r="93" spans="1:7" ht="12.75">
      <c r="A93" s="21">
        <f t="shared" si="5"/>
        <v>79</v>
      </c>
      <c r="B93" s="17">
        <f t="shared" si="6"/>
        <v>1306.66</v>
      </c>
      <c r="C93" s="17">
        <f t="shared" si="7"/>
        <v>553.54</v>
      </c>
      <c r="D93" s="17">
        <f t="shared" si="8"/>
        <v>753.1200000000001</v>
      </c>
      <c r="E93" s="17">
        <f t="shared" si="9"/>
        <v>101439.65000000002</v>
      </c>
      <c r="G93" s="21"/>
    </row>
    <row r="94" spans="1:7" ht="12.75">
      <c r="A94" s="21">
        <f t="shared" si="5"/>
        <v>80</v>
      </c>
      <c r="B94" s="17">
        <f t="shared" si="6"/>
        <v>1306.66</v>
      </c>
      <c r="C94" s="17">
        <f t="shared" si="7"/>
        <v>549.46</v>
      </c>
      <c r="D94" s="17">
        <f t="shared" si="8"/>
        <v>757.2</v>
      </c>
      <c r="E94" s="17">
        <f t="shared" si="9"/>
        <v>100682.45000000003</v>
      </c>
      <c r="G94" s="21"/>
    </row>
    <row r="95" spans="1:7" ht="12.75">
      <c r="A95" s="21">
        <f t="shared" si="5"/>
        <v>81</v>
      </c>
      <c r="B95" s="17">
        <f t="shared" si="6"/>
        <v>1306.66</v>
      </c>
      <c r="C95" s="17">
        <f t="shared" si="7"/>
        <v>545.36</v>
      </c>
      <c r="D95" s="17">
        <f t="shared" si="8"/>
        <v>761.3000000000001</v>
      </c>
      <c r="E95" s="17">
        <f t="shared" si="9"/>
        <v>99921.15000000002</v>
      </c>
      <c r="G95" s="21"/>
    </row>
    <row r="96" spans="1:7" ht="12.75">
      <c r="A96" s="21">
        <f t="shared" si="5"/>
        <v>82</v>
      </c>
      <c r="B96" s="17">
        <f t="shared" si="6"/>
        <v>1306.66</v>
      </c>
      <c r="C96" s="17">
        <f t="shared" si="7"/>
        <v>541.24</v>
      </c>
      <c r="D96" s="17">
        <f t="shared" si="8"/>
        <v>765.4200000000001</v>
      </c>
      <c r="E96" s="17">
        <f t="shared" si="9"/>
        <v>99155.73000000003</v>
      </c>
      <c r="G96" s="21"/>
    </row>
    <row r="97" spans="1:7" ht="12.75">
      <c r="A97" s="21">
        <f t="shared" si="5"/>
        <v>83</v>
      </c>
      <c r="B97" s="17">
        <f t="shared" si="6"/>
        <v>1306.66</v>
      </c>
      <c r="C97" s="17">
        <f t="shared" si="7"/>
        <v>537.09</v>
      </c>
      <c r="D97" s="17">
        <f t="shared" si="8"/>
        <v>769.57</v>
      </c>
      <c r="E97" s="17">
        <f t="shared" si="9"/>
        <v>98386.16000000002</v>
      </c>
      <c r="G97" s="21"/>
    </row>
    <row r="98" spans="1:7" ht="12.75">
      <c r="A98" s="21">
        <f t="shared" si="5"/>
        <v>84</v>
      </c>
      <c r="B98" s="17">
        <f t="shared" si="6"/>
        <v>1306.66</v>
      </c>
      <c r="C98" s="17">
        <f t="shared" si="7"/>
        <v>532.93</v>
      </c>
      <c r="D98" s="17">
        <f t="shared" si="8"/>
        <v>773.7300000000001</v>
      </c>
      <c r="E98" s="17">
        <f t="shared" si="9"/>
        <v>97612.43000000002</v>
      </c>
      <c r="G98" s="21"/>
    </row>
    <row r="99" spans="1:7" ht="12.75">
      <c r="A99" s="21">
        <f t="shared" si="5"/>
        <v>85</v>
      </c>
      <c r="B99" s="17">
        <f t="shared" si="6"/>
        <v>1306.66</v>
      </c>
      <c r="C99" s="17">
        <f t="shared" si="7"/>
        <v>528.73</v>
      </c>
      <c r="D99" s="17">
        <f t="shared" si="8"/>
        <v>777.9300000000001</v>
      </c>
      <c r="E99" s="17">
        <f t="shared" si="9"/>
        <v>96834.50000000003</v>
      </c>
      <c r="G99" s="21"/>
    </row>
    <row r="100" spans="1:7" ht="12.75">
      <c r="A100" s="21">
        <f t="shared" si="5"/>
        <v>86</v>
      </c>
      <c r="B100" s="17">
        <f t="shared" si="6"/>
        <v>1306.66</v>
      </c>
      <c r="C100" s="17">
        <f t="shared" si="7"/>
        <v>524.52</v>
      </c>
      <c r="D100" s="17">
        <f t="shared" si="8"/>
        <v>782.1400000000001</v>
      </c>
      <c r="E100" s="17">
        <f t="shared" si="9"/>
        <v>96052.36000000003</v>
      </c>
      <c r="G100" s="21"/>
    </row>
    <row r="101" spans="1:7" ht="12.75">
      <c r="A101" s="21">
        <f t="shared" si="5"/>
        <v>87</v>
      </c>
      <c r="B101" s="17">
        <f t="shared" si="6"/>
        <v>1306.66</v>
      </c>
      <c r="C101" s="17">
        <f t="shared" si="7"/>
        <v>520.28</v>
      </c>
      <c r="D101" s="17">
        <f t="shared" si="8"/>
        <v>786.3800000000001</v>
      </c>
      <c r="E101" s="17">
        <f t="shared" si="9"/>
        <v>95265.98000000003</v>
      </c>
      <c r="G101" s="21"/>
    </row>
    <row r="102" spans="1:7" ht="12.75">
      <c r="A102" s="21">
        <f t="shared" si="5"/>
        <v>88</v>
      </c>
      <c r="B102" s="17">
        <f t="shared" si="6"/>
        <v>1306.66</v>
      </c>
      <c r="C102" s="17">
        <f t="shared" si="7"/>
        <v>516.02</v>
      </c>
      <c r="D102" s="17">
        <f t="shared" si="8"/>
        <v>790.6400000000001</v>
      </c>
      <c r="E102" s="17">
        <f t="shared" si="9"/>
        <v>94475.34000000003</v>
      </c>
      <c r="G102" s="21"/>
    </row>
    <row r="103" spans="1:7" ht="12.75">
      <c r="A103" s="21">
        <f t="shared" si="5"/>
        <v>89</v>
      </c>
      <c r="B103" s="17">
        <f t="shared" si="6"/>
        <v>1306.66</v>
      </c>
      <c r="C103" s="17">
        <f t="shared" si="7"/>
        <v>511.74</v>
      </c>
      <c r="D103" s="17">
        <f t="shared" si="8"/>
        <v>794.9200000000001</v>
      </c>
      <c r="E103" s="17">
        <f t="shared" si="9"/>
        <v>93680.42000000003</v>
      </c>
      <c r="G103" s="21"/>
    </row>
    <row r="104" spans="1:7" ht="12.75">
      <c r="A104" s="21">
        <f t="shared" si="5"/>
        <v>90</v>
      </c>
      <c r="B104" s="17">
        <f t="shared" si="6"/>
        <v>1306.66</v>
      </c>
      <c r="C104" s="17">
        <f t="shared" si="7"/>
        <v>507.44</v>
      </c>
      <c r="D104" s="17">
        <f t="shared" si="8"/>
        <v>799.22</v>
      </c>
      <c r="E104" s="17">
        <f t="shared" si="9"/>
        <v>92881.20000000003</v>
      </c>
      <c r="G104" s="21"/>
    </row>
    <row r="105" spans="1:7" ht="12.75">
      <c r="A105" s="21">
        <f t="shared" si="5"/>
        <v>91</v>
      </c>
      <c r="B105" s="17">
        <f t="shared" si="6"/>
        <v>1306.66</v>
      </c>
      <c r="C105" s="17">
        <f t="shared" si="7"/>
        <v>503.11</v>
      </c>
      <c r="D105" s="17">
        <f t="shared" si="8"/>
        <v>803.5500000000001</v>
      </c>
      <c r="E105" s="17">
        <f t="shared" si="9"/>
        <v>92077.65000000002</v>
      </c>
      <c r="G105" s="21"/>
    </row>
    <row r="106" spans="1:7" ht="12.75">
      <c r="A106" s="21">
        <f t="shared" si="5"/>
        <v>92</v>
      </c>
      <c r="B106" s="17">
        <f t="shared" si="6"/>
        <v>1306.66</v>
      </c>
      <c r="C106" s="17">
        <f t="shared" si="7"/>
        <v>498.75</v>
      </c>
      <c r="D106" s="17">
        <f t="shared" si="8"/>
        <v>807.9100000000001</v>
      </c>
      <c r="E106" s="17">
        <f t="shared" si="9"/>
        <v>91269.74000000002</v>
      </c>
      <c r="G106" s="21"/>
    </row>
    <row r="107" spans="1:7" ht="12.75">
      <c r="A107" s="21">
        <f t="shared" si="5"/>
        <v>93</v>
      </c>
      <c r="B107" s="17">
        <f t="shared" si="6"/>
        <v>1306.66</v>
      </c>
      <c r="C107" s="17">
        <f t="shared" si="7"/>
        <v>494.38</v>
      </c>
      <c r="D107" s="17">
        <f t="shared" si="8"/>
        <v>812.2800000000001</v>
      </c>
      <c r="E107" s="17">
        <f t="shared" si="9"/>
        <v>90457.46000000002</v>
      </c>
      <c r="G107" s="21"/>
    </row>
    <row r="108" spans="1:7" ht="12.75">
      <c r="A108" s="21">
        <f t="shared" si="5"/>
        <v>94</v>
      </c>
      <c r="B108" s="17">
        <f t="shared" si="6"/>
        <v>1306.66</v>
      </c>
      <c r="C108" s="17">
        <f t="shared" si="7"/>
        <v>489.98</v>
      </c>
      <c r="D108" s="17">
        <f t="shared" si="8"/>
        <v>816.6800000000001</v>
      </c>
      <c r="E108" s="17">
        <f t="shared" si="9"/>
        <v>89640.78000000003</v>
      </c>
      <c r="G108" s="21"/>
    </row>
    <row r="109" spans="1:7" ht="12.75">
      <c r="A109" s="21">
        <f t="shared" si="5"/>
        <v>95</v>
      </c>
      <c r="B109" s="17">
        <f t="shared" si="6"/>
        <v>1306.66</v>
      </c>
      <c r="C109" s="17">
        <f t="shared" si="7"/>
        <v>485.55</v>
      </c>
      <c r="D109" s="17">
        <f t="shared" si="8"/>
        <v>821.1100000000001</v>
      </c>
      <c r="E109" s="17">
        <f t="shared" si="9"/>
        <v>88819.67000000003</v>
      </c>
      <c r="G109" s="21"/>
    </row>
    <row r="110" spans="1:7" ht="12.75">
      <c r="A110" s="21">
        <f t="shared" si="5"/>
        <v>96</v>
      </c>
      <c r="B110" s="17">
        <f t="shared" si="6"/>
        <v>1306.66</v>
      </c>
      <c r="C110" s="17">
        <f t="shared" si="7"/>
        <v>481.11</v>
      </c>
      <c r="D110" s="17">
        <f t="shared" si="8"/>
        <v>825.5500000000001</v>
      </c>
      <c r="E110" s="17">
        <f t="shared" si="9"/>
        <v>87994.12000000002</v>
      </c>
      <c r="G110" s="21"/>
    </row>
    <row r="111" spans="1:7" ht="12.75">
      <c r="A111" s="21">
        <f t="shared" si="5"/>
        <v>97</v>
      </c>
      <c r="B111" s="17">
        <f t="shared" si="6"/>
        <v>1306.66</v>
      </c>
      <c r="C111" s="17">
        <f t="shared" si="7"/>
        <v>476.63</v>
      </c>
      <c r="D111" s="17">
        <f t="shared" si="8"/>
        <v>830.0300000000001</v>
      </c>
      <c r="E111" s="17">
        <f t="shared" si="9"/>
        <v>87164.09000000003</v>
      </c>
      <c r="G111" s="21"/>
    </row>
    <row r="112" spans="1:7" ht="12.75">
      <c r="A112" s="21">
        <f t="shared" si="5"/>
        <v>98</v>
      </c>
      <c r="B112" s="17">
        <f t="shared" si="6"/>
        <v>1306.66</v>
      </c>
      <c r="C112" s="17">
        <f t="shared" si="7"/>
        <v>472.14</v>
      </c>
      <c r="D112" s="17">
        <f t="shared" si="8"/>
        <v>834.5200000000001</v>
      </c>
      <c r="E112" s="17">
        <f t="shared" si="9"/>
        <v>86329.57000000002</v>
      </c>
      <c r="G112" s="21"/>
    </row>
    <row r="113" spans="1:7" ht="12.75">
      <c r="A113" s="21">
        <f t="shared" si="5"/>
        <v>99</v>
      </c>
      <c r="B113" s="17">
        <f t="shared" si="6"/>
        <v>1306.66</v>
      </c>
      <c r="C113" s="17">
        <f t="shared" si="7"/>
        <v>467.62</v>
      </c>
      <c r="D113" s="17">
        <f t="shared" si="8"/>
        <v>839.0400000000001</v>
      </c>
      <c r="E113" s="17">
        <f t="shared" si="9"/>
        <v>85490.53000000003</v>
      </c>
      <c r="G113" s="21"/>
    </row>
    <row r="114" spans="1:7" ht="12.75">
      <c r="A114" s="21">
        <f t="shared" si="5"/>
        <v>100</v>
      </c>
      <c r="B114" s="17">
        <f t="shared" si="6"/>
        <v>1306.66</v>
      </c>
      <c r="C114" s="17">
        <f t="shared" si="7"/>
        <v>463.07</v>
      </c>
      <c r="D114" s="17">
        <f t="shared" si="8"/>
        <v>843.5900000000001</v>
      </c>
      <c r="E114" s="17">
        <f t="shared" si="9"/>
        <v>84646.94000000003</v>
      </c>
      <c r="G114" s="21"/>
    </row>
    <row r="115" spans="1:7" ht="12.75">
      <c r="A115" s="21">
        <f t="shared" si="5"/>
        <v>101</v>
      </c>
      <c r="B115" s="17">
        <f t="shared" si="6"/>
        <v>1306.66</v>
      </c>
      <c r="C115" s="17">
        <f t="shared" si="7"/>
        <v>458.5</v>
      </c>
      <c r="D115" s="17">
        <f t="shared" si="8"/>
        <v>848.1600000000001</v>
      </c>
      <c r="E115" s="17">
        <f t="shared" si="9"/>
        <v>83798.78000000003</v>
      </c>
      <c r="G115" s="21"/>
    </row>
    <row r="116" spans="1:7" ht="12.75">
      <c r="A116" s="21">
        <f t="shared" si="5"/>
        <v>102</v>
      </c>
      <c r="B116" s="17">
        <f t="shared" si="6"/>
        <v>1306.66</v>
      </c>
      <c r="C116" s="17">
        <f t="shared" si="7"/>
        <v>453.91</v>
      </c>
      <c r="D116" s="17">
        <f t="shared" si="8"/>
        <v>852.75</v>
      </c>
      <c r="E116" s="17">
        <f t="shared" si="9"/>
        <v>82946.03000000003</v>
      </c>
      <c r="G116" s="21"/>
    </row>
    <row r="117" spans="1:7" ht="12.75">
      <c r="A117" s="21">
        <f t="shared" si="5"/>
        <v>103</v>
      </c>
      <c r="B117" s="17">
        <f t="shared" si="6"/>
        <v>1306.66</v>
      </c>
      <c r="C117" s="17">
        <f t="shared" si="7"/>
        <v>449.29</v>
      </c>
      <c r="D117" s="17">
        <f t="shared" si="8"/>
        <v>857.3700000000001</v>
      </c>
      <c r="E117" s="17">
        <f t="shared" si="9"/>
        <v>82088.66000000003</v>
      </c>
      <c r="G117" s="21"/>
    </row>
    <row r="118" spans="1:7" ht="12.75">
      <c r="A118" s="21">
        <f t="shared" si="5"/>
        <v>104</v>
      </c>
      <c r="B118" s="17">
        <f t="shared" si="6"/>
        <v>1306.66</v>
      </c>
      <c r="C118" s="17">
        <f t="shared" si="7"/>
        <v>444.65</v>
      </c>
      <c r="D118" s="17">
        <f t="shared" si="8"/>
        <v>862.0100000000001</v>
      </c>
      <c r="E118" s="17">
        <f t="shared" si="9"/>
        <v>81226.65000000004</v>
      </c>
      <c r="G118" s="21"/>
    </row>
    <row r="119" spans="1:7" ht="12.75">
      <c r="A119" s="21">
        <f t="shared" si="5"/>
        <v>105</v>
      </c>
      <c r="B119" s="17">
        <f t="shared" si="6"/>
        <v>1306.66</v>
      </c>
      <c r="C119" s="17">
        <f t="shared" si="7"/>
        <v>439.98</v>
      </c>
      <c r="D119" s="17">
        <f t="shared" si="8"/>
        <v>866.6800000000001</v>
      </c>
      <c r="E119" s="17">
        <f t="shared" si="9"/>
        <v>80359.97000000004</v>
      </c>
      <c r="G119" s="21"/>
    </row>
    <row r="120" spans="1:7" ht="12.75">
      <c r="A120" s="21">
        <f t="shared" si="5"/>
        <v>106</v>
      </c>
      <c r="B120" s="17">
        <f t="shared" si="6"/>
        <v>1306.66</v>
      </c>
      <c r="C120" s="17">
        <f t="shared" si="7"/>
        <v>435.28</v>
      </c>
      <c r="D120" s="17">
        <f t="shared" si="8"/>
        <v>871.3800000000001</v>
      </c>
      <c r="E120" s="17">
        <f t="shared" si="9"/>
        <v>79488.59000000004</v>
      </c>
      <c r="G120" s="21"/>
    </row>
    <row r="121" spans="1:7" ht="12.75">
      <c r="A121" s="21">
        <f t="shared" si="5"/>
        <v>107</v>
      </c>
      <c r="B121" s="17">
        <f t="shared" si="6"/>
        <v>1306.66</v>
      </c>
      <c r="C121" s="17">
        <f t="shared" si="7"/>
        <v>430.56</v>
      </c>
      <c r="D121" s="17">
        <f t="shared" si="8"/>
        <v>876.1000000000001</v>
      </c>
      <c r="E121" s="17">
        <f t="shared" si="9"/>
        <v>78612.49000000003</v>
      </c>
      <c r="G121" s="21"/>
    </row>
    <row r="122" spans="1:7" ht="12.75">
      <c r="A122" s="21">
        <f t="shared" si="5"/>
        <v>108</v>
      </c>
      <c r="B122" s="17">
        <f t="shared" si="6"/>
        <v>1306.66</v>
      </c>
      <c r="C122" s="17">
        <f t="shared" si="7"/>
        <v>425.82</v>
      </c>
      <c r="D122" s="17">
        <f t="shared" si="8"/>
        <v>880.8400000000001</v>
      </c>
      <c r="E122" s="17">
        <f t="shared" si="9"/>
        <v>77731.65000000004</v>
      </c>
      <c r="G122" s="21"/>
    </row>
    <row r="123" spans="1:7" ht="12.75">
      <c r="A123" s="21">
        <f t="shared" si="5"/>
        <v>109</v>
      </c>
      <c r="B123" s="17">
        <f t="shared" si="6"/>
        <v>1306.66</v>
      </c>
      <c r="C123" s="17">
        <f t="shared" si="7"/>
        <v>421.05</v>
      </c>
      <c r="D123" s="17">
        <f t="shared" si="8"/>
        <v>885.6100000000001</v>
      </c>
      <c r="E123" s="17">
        <f t="shared" si="9"/>
        <v>76846.04000000004</v>
      </c>
      <c r="G123" s="21"/>
    </row>
    <row r="124" spans="1:7" ht="12.75">
      <c r="A124" s="21">
        <f t="shared" si="5"/>
        <v>110</v>
      </c>
      <c r="B124" s="17">
        <f t="shared" si="6"/>
        <v>1306.66</v>
      </c>
      <c r="C124" s="17">
        <f t="shared" si="7"/>
        <v>416.25</v>
      </c>
      <c r="D124" s="17">
        <f t="shared" si="8"/>
        <v>890.4100000000001</v>
      </c>
      <c r="E124" s="17">
        <f t="shared" si="9"/>
        <v>75955.63000000003</v>
      </c>
      <c r="G124" s="21"/>
    </row>
    <row r="125" spans="1:7" ht="12.75">
      <c r="A125" s="21">
        <f t="shared" si="5"/>
        <v>111</v>
      </c>
      <c r="B125" s="17">
        <f t="shared" si="6"/>
        <v>1306.66</v>
      </c>
      <c r="C125" s="17">
        <f t="shared" si="7"/>
        <v>411.43</v>
      </c>
      <c r="D125" s="17">
        <f t="shared" si="8"/>
        <v>895.23</v>
      </c>
      <c r="E125" s="17">
        <f t="shared" si="9"/>
        <v>75060.40000000004</v>
      </c>
      <c r="G125" s="21"/>
    </row>
    <row r="126" spans="1:7" ht="12.75">
      <c r="A126" s="21">
        <f t="shared" si="5"/>
        <v>112</v>
      </c>
      <c r="B126" s="17">
        <f t="shared" si="6"/>
        <v>1306.66</v>
      </c>
      <c r="C126" s="17">
        <f t="shared" si="7"/>
        <v>406.58</v>
      </c>
      <c r="D126" s="17">
        <f t="shared" si="8"/>
        <v>900.0800000000002</v>
      </c>
      <c r="E126" s="17">
        <f t="shared" si="9"/>
        <v>74160.32000000004</v>
      </c>
      <c r="G126" s="21"/>
    </row>
    <row r="127" spans="1:7" ht="12.75">
      <c r="A127" s="21">
        <f t="shared" si="5"/>
        <v>113</v>
      </c>
      <c r="B127" s="17">
        <f t="shared" si="6"/>
        <v>1306.66</v>
      </c>
      <c r="C127" s="17">
        <f t="shared" si="7"/>
        <v>401.7</v>
      </c>
      <c r="D127" s="17">
        <f t="shared" si="8"/>
        <v>904.96</v>
      </c>
      <c r="E127" s="17">
        <f t="shared" si="9"/>
        <v>73255.36000000003</v>
      </c>
      <c r="G127" s="21"/>
    </row>
    <row r="128" spans="1:7" ht="12.75">
      <c r="A128" s="21">
        <f t="shared" si="5"/>
        <v>114</v>
      </c>
      <c r="B128" s="17">
        <f t="shared" si="6"/>
        <v>1306.66</v>
      </c>
      <c r="C128" s="17">
        <f t="shared" si="7"/>
        <v>396.8</v>
      </c>
      <c r="D128" s="17">
        <f t="shared" si="8"/>
        <v>909.8600000000001</v>
      </c>
      <c r="E128" s="17">
        <f t="shared" si="9"/>
        <v>72345.50000000003</v>
      </c>
      <c r="G128" s="21"/>
    </row>
    <row r="129" spans="1:7" ht="12.75">
      <c r="A129" s="21">
        <f t="shared" si="5"/>
        <v>115</v>
      </c>
      <c r="B129" s="17">
        <f t="shared" si="6"/>
        <v>1306.66</v>
      </c>
      <c r="C129" s="17">
        <f t="shared" si="7"/>
        <v>391.87</v>
      </c>
      <c r="D129" s="17">
        <f t="shared" si="8"/>
        <v>914.7900000000001</v>
      </c>
      <c r="E129" s="17">
        <f t="shared" si="9"/>
        <v>71430.71000000004</v>
      </c>
      <c r="G129" s="21"/>
    </row>
    <row r="130" spans="1:7" ht="12.75">
      <c r="A130" s="21">
        <f t="shared" si="5"/>
        <v>116</v>
      </c>
      <c r="B130" s="17">
        <f t="shared" si="6"/>
        <v>1306.66</v>
      </c>
      <c r="C130" s="17">
        <f t="shared" si="7"/>
        <v>386.92</v>
      </c>
      <c r="D130" s="17">
        <f t="shared" si="8"/>
        <v>919.74</v>
      </c>
      <c r="E130" s="17">
        <f t="shared" si="9"/>
        <v>70510.97000000003</v>
      </c>
      <c r="G130" s="21"/>
    </row>
    <row r="131" spans="1:7" ht="12.75">
      <c r="A131" s="21">
        <f t="shared" si="5"/>
        <v>117</v>
      </c>
      <c r="B131" s="17">
        <f t="shared" si="6"/>
        <v>1306.66</v>
      </c>
      <c r="C131" s="17">
        <f t="shared" si="7"/>
        <v>381.93</v>
      </c>
      <c r="D131" s="17">
        <f t="shared" si="8"/>
        <v>924.73</v>
      </c>
      <c r="E131" s="17">
        <f t="shared" si="9"/>
        <v>69586.24000000003</v>
      </c>
      <c r="G131" s="21"/>
    </row>
    <row r="132" spans="1:7" ht="12.75">
      <c r="A132" s="21">
        <f t="shared" si="5"/>
        <v>118</v>
      </c>
      <c r="B132" s="17">
        <f t="shared" si="6"/>
        <v>1306.66</v>
      </c>
      <c r="C132" s="17">
        <f t="shared" si="7"/>
        <v>376.93</v>
      </c>
      <c r="D132" s="17">
        <f t="shared" si="8"/>
        <v>929.73</v>
      </c>
      <c r="E132" s="17">
        <f t="shared" si="9"/>
        <v>68656.51000000004</v>
      </c>
      <c r="G132" s="21"/>
    </row>
    <row r="133" spans="1:7" ht="12.75">
      <c r="A133" s="21">
        <f t="shared" si="5"/>
        <v>119</v>
      </c>
      <c r="B133" s="17">
        <f t="shared" si="6"/>
        <v>1306.66</v>
      </c>
      <c r="C133" s="17">
        <f t="shared" si="7"/>
        <v>371.89</v>
      </c>
      <c r="D133" s="17">
        <f t="shared" si="8"/>
        <v>934.7700000000001</v>
      </c>
      <c r="E133" s="17">
        <f t="shared" si="9"/>
        <v>67721.74000000003</v>
      </c>
      <c r="G133" s="21"/>
    </row>
    <row r="134" spans="1:7" ht="12.75">
      <c r="A134" s="21">
        <f t="shared" si="5"/>
        <v>120</v>
      </c>
      <c r="B134" s="17">
        <f t="shared" si="6"/>
        <v>1306.66</v>
      </c>
      <c r="C134" s="17">
        <f t="shared" si="7"/>
        <v>366.83</v>
      </c>
      <c r="D134" s="17">
        <f t="shared" si="8"/>
        <v>939.8300000000002</v>
      </c>
      <c r="E134" s="17">
        <f t="shared" si="9"/>
        <v>66781.91000000003</v>
      </c>
      <c r="G134" s="21"/>
    </row>
    <row r="135" spans="1:7" ht="12.75">
      <c r="A135" s="21">
        <f t="shared" si="5"/>
        <v>121</v>
      </c>
      <c r="B135" s="17">
        <f t="shared" si="6"/>
        <v>1306.66</v>
      </c>
      <c r="C135" s="17">
        <f t="shared" si="7"/>
        <v>361.74</v>
      </c>
      <c r="D135" s="17">
        <f t="shared" si="8"/>
        <v>944.9200000000001</v>
      </c>
      <c r="E135" s="17">
        <f t="shared" si="9"/>
        <v>65836.99000000003</v>
      </c>
      <c r="G135" s="21"/>
    </row>
    <row r="136" spans="1:7" ht="12.75">
      <c r="A136" s="21">
        <f t="shared" si="5"/>
        <v>122</v>
      </c>
      <c r="B136" s="17">
        <f t="shared" si="6"/>
        <v>1306.66</v>
      </c>
      <c r="C136" s="17">
        <f t="shared" si="7"/>
        <v>356.62</v>
      </c>
      <c r="D136" s="17">
        <f t="shared" si="8"/>
        <v>950.0400000000001</v>
      </c>
      <c r="E136" s="17">
        <f t="shared" si="9"/>
        <v>64886.95000000003</v>
      </c>
      <c r="G136" s="21"/>
    </row>
    <row r="137" spans="1:7" ht="12.75">
      <c r="A137" s="21">
        <f t="shared" si="5"/>
        <v>123</v>
      </c>
      <c r="B137" s="17">
        <f t="shared" si="6"/>
        <v>1306.66</v>
      </c>
      <c r="C137" s="17">
        <f t="shared" si="7"/>
        <v>351.47</v>
      </c>
      <c r="D137" s="17">
        <f t="shared" si="8"/>
        <v>955.19</v>
      </c>
      <c r="E137" s="17">
        <f t="shared" si="9"/>
        <v>63931.76000000003</v>
      </c>
      <c r="G137" s="21"/>
    </row>
    <row r="138" spans="1:7" ht="12.75">
      <c r="A138" s="21">
        <f t="shared" si="5"/>
        <v>124</v>
      </c>
      <c r="B138" s="17">
        <f t="shared" si="6"/>
        <v>1306.66</v>
      </c>
      <c r="C138" s="17">
        <f t="shared" si="7"/>
        <v>346.3</v>
      </c>
      <c r="D138" s="17">
        <f t="shared" si="8"/>
        <v>960.3600000000001</v>
      </c>
      <c r="E138" s="17">
        <f t="shared" si="9"/>
        <v>62971.40000000003</v>
      </c>
      <c r="G138" s="21"/>
    </row>
    <row r="139" spans="1:7" ht="12.75">
      <c r="A139" s="21">
        <f t="shared" si="5"/>
        <v>125</v>
      </c>
      <c r="B139" s="17">
        <f t="shared" si="6"/>
        <v>1306.66</v>
      </c>
      <c r="C139" s="17">
        <f t="shared" si="7"/>
        <v>341.1</v>
      </c>
      <c r="D139" s="17">
        <f t="shared" si="8"/>
        <v>965.5600000000001</v>
      </c>
      <c r="E139" s="17">
        <f t="shared" si="9"/>
        <v>62005.84000000003</v>
      </c>
      <c r="G139" s="21"/>
    </row>
    <row r="140" spans="1:7" ht="12.75">
      <c r="A140" s="21">
        <f t="shared" si="5"/>
        <v>126</v>
      </c>
      <c r="B140" s="17">
        <f t="shared" si="6"/>
        <v>1306.66</v>
      </c>
      <c r="C140" s="17">
        <f t="shared" si="7"/>
        <v>335.86</v>
      </c>
      <c r="D140" s="17">
        <f t="shared" si="8"/>
        <v>970.8000000000001</v>
      </c>
      <c r="E140" s="17">
        <f t="shared" si="9"/>
        <v>61035.04000000003</v>
      </c>
      <c r="G140" s="21"/>
    </row>
    <row r="141" spans="1:7" ht="12.75">
      <c r="A141" s="21">
        <f t="shared" si="5"/>
        <v>127</v>
      </c>
      <c r="B141" s="17">
        <f t="shared" si="6"/>
        <v>1306.66</v>
      </c>
      <c r="C141" s="17">
        <f t="shared" si="7"/>
        <v>330.61</v>
      </c>
      <c r="D141" s="17">
        <f t="shared" si="8"/>
        <v>976.0500000000001</v>
      </c>
      <c r="E141" s="17">
        <f t="shared" si="9"/>
        <v>60058.99000000003</v>
      </c>
      <c r="G141" s="21"/>
    </row>
    <row r="142" spans="1:7" ht="12.75">
      <c r="A142" s="21">
        <f t="shared" si="5"/>
        <v>128</v>
      </c>
      <c r="B142" s="17">
        <f t="shared" si="6"/>
        <v>1306.66</v>
      </c>
      <c r="C142" s="17">
        <f t="shared" si="7"/>
        <v>325.32</v>
      </c>
      <c r="D142" s="17">
        <f t="shared" si="8"/>
        <v>981.3400000000001</v>
      </c>
      <c r="E142" s="17">
        <f t="shared" si="9"/>
        <v>59077.65000000002</v>
      </c>
      <c r="G142" s="21"/>
    </row>
    <row r="143" spans="1:7" ht="12.75">
      <c r="A143" s="21">
        <f aca="true" t="shared" si="10" ref="A143:A206">A142+1</f>
        <v>129</v>
      </c>
      <c r="B143" s="17">
        <f aca="true" t="shared" si="11" ref="B143:B206">IF(E142&lt;1,0,IF(E142&gt;B$8,B$8,(1+D$2)*E142))</f>
        <v>1306.66</v>
      </c>
      <c r="C143" s="17">
        <f aca="true" t="shared" si="12" ref="C143:C206">IF(E142&lt;1,0,ROUND(E142*D$2,2))</f>
        <v>320</v>
      </c>
      <c r="D143" s="17">
        <f aca="true" t="shared" si="13" ref="D143:D206">IF(E142&lt;1,0,B143-C143+G143)</f>
        <v>986.6600000000001</v>
      </c>
      <c r="E143" s="17">
        <f aca="true" t="shared" si="14" ref="E143:E206">IF(E142&lt;1,0,E142-D143)</f>
        <v>58090.99000000002</v>
      </c>
      <c r="G143" s="21"/>
    </row>
    <row r="144" spans="1:7" ht="12.75">
      <c r="A144" s="21">
        <f t="shared" si="10"/>
        <v>130</v>
      </c>
      <c r="B144" s="17">
        <f t="shared" si="11"/>
        <v>1306.66</v>
      </c>
      <c r="C144" s="17">
        <f t="shared" si="12"/>
        <v>314.66</v>
      </c>
      <c r="D144" s="17">
        <f t="shared" si="13"/>
        <v>992</v>
      </c>
      <c r="E144" s="17">
        <f t="shared" si="14"/>
        <v>57098.99000000002</v>
      </c>
      <c r="G144" s="21"/>
    </row>
    <row r="145" spans="1:7" ht="12.75">
      <c r="A145" s="21">
        <f t="shared" si="10"/>
        <v>131</v>
      </c>
      <c r="B145" s="17">
        <f t="shared" si="11"/>
        <v>1306.66</v>
      </c>
      <c r="C145" s="17">
        <f t="shared" si="12"/>
        <v>309.29</v>
      </c>
      <c r="D145" s="17">
        <f t="shared" si="13"/>
        <v>997.3700000000001</v>
      </c>
      <c r="E145" s="17">
        <f t="shared" si="14"/>
        <v>56101.62000000002</v>
      </c>
      <c r="G145" s="21"/>
    </row>
    <row r="146" spans="1:7" ht="12.75">
      <c r="A146" s="21">
        <f t="shared" si="10"/>
        <v>132</v>
      </c>
      <c r="B146" s="17">
        <f t="shared" si="11"/>
        <v>1306.66</v>
      </c>
      <c r="C146" s="17">
        <f t="shared" si="12"/>
        <v>303.88</v>
      </c>
      <c r="D146" s="17">
        <f t="shared" si="13"/>
        <v>1002.7800000000001</v>
      </c>
      <c r="E146" s="17">
        <f t="shared" si="14"/>
        <v>55098.84000000002</v>
      </c>
      <c r="G146" s="21"/>
    </row>
    <row r="147" spans="1:7" ht="12.75">
      <c r="A147" s="21">
        <f t="shared" si="10"/>
        <v>133</v>
      </c>
      <c r="B147" s="17">
        <f t="shared" si="11"/>
        <v>1306.66</v>
      </c>
      <c r="C147" s="17">
        <f t="shared" si="12"/>
        <v>298.45</v>
      </c>
      <c r="D147" s="17">
        <f t="shared" si="13"/>
        <v>1008.21</v>
      </c>
      <c r="E147" s="17">
        <f t="shared" si="14"/>
        <v>54090.63000000002</v>
      </c>
      <c r="G147" s="21"/>
    </row>
    <row r="148" spans="1:7" ht="12.75">
      <c r="A148" s="21">
        <f t="shared" si="10"/>
        <v>134</v>
      </c>
      <c r="B148" s="17">
        <f t="shared" si="11"/>
        <v>1306.66</v>
      </c>
      <c r="C148" s="17">
        <f t="shared" si="12"/>
        <v>292.99</v>
      </c>
      <c r="D148" s="17">
        <f t="shared" si="13"/>
        <v>1013.6700000000001</v>
      </c>
      <c r="E148" s="17">
        <f t="shared" si="14"/>
        <v>53076.96000000002</v>
      </c>
      <c r="G148" s="21"/>
    </row>
    <row r="149" spans="1:7" ht="12.75">
      <c r="A149" s="21">
        <f t="shared" si="10"/>
        <v>135</v>
      </c>
      <c r="B149" s="17">
        <f t="shared" si="11"/>
        <v>1306.66</v>
      </c>
      <c r="C149" s="17">
        <f t="shared" si="12"/>
        <v>287.5</v>
      </c>
      <c r="D149" s="17">
        <f t="shared" si="13"/>
        <v>1019.1600000000001</v>
      </c>
      <c r="E149" s="17">
        <f t="shared" si="14"/>
        <v>52057.80000000002</v>
      </c>
      <c r="G149" s="21"/>
    </row>
    <row r="150" spans="1:7" ht="12.75">
      <c r="A150" s="21">
        <f t="shared" si="10"/>
        <v>136</v>
      </c>
      <c r="B150" s="17">
        <f t="shared" si="11"/>
        <v>1306.66</v>
      </c>
      <c r="C150" s="17">
        <f t="shared" si="12"/>
        <v>281.98</v>
      </c>
      <c r="D150" s="17">
        <f t="shared" si="13"/>
        <v>1024.68</v>
      </c>
      <c r="E150" s="17">
        <f t="shared" si="14"/>
        <v>51033.12000000002</v>
      </c>
      <c r="G150" s="21"/>
    </row>
    <row r="151" spans="1:7" ht="12.75">
      <c r="A151" s="21">
        <f t="shared" si="10"/>
        <v>137</v>
      </c>
      <c r="B151" s="17">
        <f t="shared" si="11"/>
        <v>1306.66</v>
      </c>
      <c r="C151" s="17">
        <f t="shared" si="12"/>
        <v>276.43</v>
      </c>
      <c r="D151" s="17">
        <f t="shared" si="13"/>
        <v>1030.23</v>
      </c>
      <c r="E151" s="17">
        <f t="shared" si="14"/>
        <v>50002.890000000014</v>
      </c>
      <c r="G151" s="21"/>
    </row>
    <row r="152" spans="1:7" ht="12.75">
      <c r="A152" s="21">
        <f t="shared" si="10"/>
        <v>138</v>
      </c>
      <c r="B152" s="17">
        <f t="shared" si="11"/>
        <v>1306.66</v>
      </c>
      <c r="C152" s="17">
        <f t="shared" si="12"/>
        <v>270.85</v>
      </c>
      <c r="D152" s="17">
        <f t="shared" si="13"/>
        <v>1035.81</v>
      </c>
      <c r="E152" s="17">
        <f t="shared" si="14"/>
        <v>48967.080000000016</v>
      </c>
      <c r="G152" s="21"/>
    </row>
    <row r="153" spans="1:7" ht="12.75">
      <c r="A153" s="21">
        <f t="shared" si="10"/>
        <v>139</v>
      </c>
      <c r="B153" s="17">
        <f t="shared" si="11"/>
        <v>1306.66</v>
      </c>
      <c r="C153" s="17">
        <f t="shared" si="12"/>
        <v>265.24</v>
      </c>
      <c r="D153" s="17">
        <f t="shared" si="13"/>
        <v>1041.42</v>
      </c>
      <c r="E153" s="17">
        <f t="shared" si="14"/>
        <v>47925.66000000002</v>
      </c>
      <c r="G153" s="21"/>
    </row>
    <row r="154" spans="1:7" ht="12.75">
      <c r="A154" s="21">
        <f t="shared" si="10"/>
        <v>140</v>
      </c>
      <c r="B154" s="17">
        <f t="shared" si="11"/>
        <v>1306.66</v>
      </c>
      <c r="C154" s="17">
        <f t="shared" si="12"/>
        <v>259.6</v>
      </c>
      <c r="D154" s="17">
        <f t="shared" si="13"/>
        <v>1047.06</v>
      </c>
      <c r="E154" s="17">
        <f t="shared" si="14"/>
        <v>46878.60000000002</v>
      </c>
      <c r="G154" s="21"/>
    </row>
    <row r="155" spans="1:7" ht="12.75">
      <c r="A155" s="21">
        <f t="shared" si="10"/>
        <v>141</v>
      </c>
      <c r="B155" s="17">
        <f t="shared" si="11"/>
        <v>1306.66</v>
      </c>
      <c r="C155" s="17">
        <f t="shared" si="12"/>
        <v>253.93</v>
      </c>
      <c r="D155" s="17">
        <f t="shared" si="13"/>
        <v>1052.73</v>
      </c>
      <c r="E155" s="17">
        <f t="shared" si="14"/>
        <v>45825.87000000002</v>
      </c>
      <c r="G155" s="21"/>
    </row>
    <row r="156" spans="1:7" ht="12.75">
      <c r="A156" s="21">
        <f t="shared" si="10"/>
        <v>142</v>
      </c>
      <c r="B156" s="17">
        <f t="shared" si="11"/>
        <v>1306.66</v>
      </c>
      <c r="C156" s="17">
        <f t="shared" si="12"/>
        <v>248.22</v>
      </c>
      <c r="D156" s="17">
        <f t="shared" si="13"/>
        <v>1058.44</v>
      </c>
      <c r="E156" s="17">
        <f t="shared" si="14"/>
        <v>44767.430000000015</v>
      </c>
      <c r="G156" s="21"/>
    </row>
    <row r="157" spans="1:7" ht="12.75">
      <c r="A157" s="21">
        <f t="shared" si="10"/>
        <v>143</v>
      </c>
      <c r="B157" s="17">
        <f t="shared" si="11"/>
        <v>1306.66</v>
      </c>
      <c r="C157" s="17">
        <f t="shared" si="12"/>
        <v>242.49</v>
      </c>
      <c r="D157" s="17">
        <f t="shared" si="13"/>
        <v>1064.17</v>
      </c>
      <c r="E157" s="17">
        <f t="shared" si="14"/>
        <v>43703.26000000002</v>
      </c>
      <c r="G157" s="21"/>
    </row>
    <row r="158" spans="1:7" ht="12.75">
      <c r="A158" s="21">
        <f t="shared" si="10"/>
        <v>144</v>
      </c>
      <c r="B158" s="17">
        <f t="shared" si="11"/>
        <v>1306.66</v>
      </c>
      <c r="C158" s="17">
        <f t="shared" si="12"/>
        <v>236.73</v>
      </c>
      <c r="D158" s="17">
        <f t="shared" si="13"/>
        <v>1069.93</v>
      </c>
      <c r="E158" s="17">
        <f t="shared" si="14"/>
        <v>42633.330000000016</v>
      </c>
      <c r="G158" s="21"/>
    </row>
    <row r="159" spans="1:7" ht="12.75">
      <c r="A159" s="21">
        <f t="shared" si="10"/>
        <v>145</v>
      </c>
      <c r="B159" s="17">
        <f t="shared" si="11"/>
        <v>1306.66</v>
      </c>
      <c r="C159" s="17">
        <f t="shared" si="12"/>
        <v>230.93</v>
      </c>
      <c r="D159" s="17">
        <f t="shared" si="13"/>
        <v>1075.73</v>
      </c>
      <c r="E159" s="17">
        <f t="shared" si="14"/>
        <v>41557.60000000001</v>
      </c>
      <c r="G159" s="21"/>
    </row>
    <row r="160" spans="1:7" ht="12.75">
      <c r="A160" s="21">
        <f t="shared" si="10"/>
        <v>146</v>
      </c>
      <c r="B160" s="17">
        <f t="shared" si="11"/>
        <v>1306.66</v>
      </c>
      <c r="C160" s="17">
        <f t="shared" si="12"/>
        <v>225.1</v>
      </c>
      <c r="D160" s="17">
        <f t="shared" si="13"/>
        <v>1081.5600000000002</v>
      </c>
      <c r="E160" s="17">
        <f t="shared" si="14"/>
        <v>40476.040000000015</v>
      </c>
      <c r="G160" s="21"/>
    </row>
    <row r="161" spans="1:7" ht="12.75">
      <c r="A161" s="21">
        <f t="shared" si="10"/>
        <v>147</v>
      </c>
      <c r="B161" s="17">
        <f t="shared" si="11"/>
        <v>1306.66</v>
      </c>
      <c r="C161" s="17">
        <f t="shared" si="12"/>
        <v>219.25</v>
      </c>
      <c r="D161" s="17">
        <f t="shared" si="13"/>
        <v>1087.41</v>
      </c>
      <c r="E161" s="17">
        <f t="shared" si="14"/>
        <v>39388.63000000001</v>
      </c>
      <c r="G161" s="21"/>
    </row>
    <row r="162" spans="1:7" ht="12.75">
      <c r="A162" s="21">
        <f t="shared" si="10"/>
        <v>148</v>
      </c>
      <c r="B162" s="17">
        <f t="shared" si="11"/>
        <v>1306.66</v>
      </c>
      <c r="C162" s="17">
        <f t="shared" si="12"/>
        <v>213.36</v>
      </c>
      <c r="D162" s="17">
        <f t="shared" si="13"/>
        <v>1093.3000000000002</v>
      </c>
      <c r="E162" s="17">
        <f t="shared" si="14"/>
        <v>38295.33000000001</v>
      </c>
      <c r="G162" s="21"/>
    </row>
    <row r="163" spans="1:7" ht="12.75">
      <c r="A163" s="21">
        <f t="shared" si="10"/>
        <v>149</v>
      </c>
      <c r="B163" s="17">
        <f t="shared" si="11"/>
        <v>1306.66</v>
      </c>
      <c r="C163" s="17">
        <f t="shared" si="12"/>
        <v>207.43</v>
      </c>
      <c r="D163" s="17">
        <f t="shared" si="13"/>
        <v>1099.23</v>
      </c>
      <c r="E163" s="17">
        <f t="shared" si="14"/>
        <v>37196.100000000006</v>
      </c>
      <c r="G163" s="21"/>
    </row>
    <row r="164" spans="1:7" ht="12.75">
      <c r="A164" s="21">
        <f t="shared" si="10"/>
        <v>150</v>
      </c>
      <c r="B164" s="17">
        <f t="shared" si="11"/>
        <v>1306.66</v>
      </c>
      <c r="C164" s="17">
        <f t="shared" si="12"/>
        <v>201.48</v>
      </c>
      <c r="D164" s="17">
        <f t="shared" si="13"/>
        <v>1105.18</v>
      </c>
      <c r="E164" s="17">
        <f t="shared" si="14"/>
        <v>36090.920000000006</v>
      </c>
      <c r="G164" s="21"/>
    </row>
    <row r="165" spans="1:7" ht="12.75">
      <c r="A165" s="21">
        <f t="shared" si="10"/>
        <v>151</v>
      </c>
      <c r="B165" s="17">
        <f t="shared" si="11"/>
        <v>1306.66</v>
      </c>
      <c r="C165" s="17">
        <f t="shared" si="12"/>
        <v>195.49</v>
      </c>
      <c r="D165" s="17">
        <f t="shared" si="13"/>
        <v>1111.17</v>
      </c>
      <c r="E165" s="17">
        <f t="shared" si="14"/>
        <v>34979.75000000001</v>
      </c>
      <c r="G165" s="21"/>
    </row>
    <row r="166" spans="1:7" ht="12.75">
      <c r="A166" s="21">
        <f t="shared" si="10"/>
        <v>152</v>
      </c>
      <c r="B166" s="17">
        <f t="shared" si="11"/>
        <v>1306.66</v>
      </c>
      <c r="C166" s="17">
        <f t="shared" si="12"/>
        <v>189.47</v>
      </c>
      <c r="D166" s="17">
        <f t="shared" si="13"/>
        <v>1117.19</v>
      </c>
      <c r="E166" s="17">
        <f t="shared" si="14"/>
        <v>33862.560000000005</v>
      </c>
      <c r="G166" s="21"/>
    </row>
    <row r="167" spans="1:7" ht="12.75">
      <c r="A167" s="21">
        <f t="shared" si="10"/>
        <v>153</v>
      </c>
      <c r="B167" s="17">
        <f t="shared" si="11"/>
        <v>1306.66</v>
      </c>
      <c r="C167" s="17">
        <f t="shared" si="12"/>
        <v>183.42</v>
      </c>
      <c r="D167" s="17">
        <f t="shared" si="13"/>
        <v>1123.24</v>
      </c>
      <c r="E167" s="17">
        <f t="shared" si="14"/>
        <v>32739.320000000003</v>
      </c>
      <c r="G167" s="21"/>
    </row>
    <row r="168" spans="1:7" ht="12.75">
      <c r="A168" s="21">
        <f t="shared" si="10"/>
        <v>154</v>
      </c>
      <c r="B168" s="17">
        <f t="shared" si="11"/>
        <v>1306.66</v>
      </c>
      <c r="C168" s="17">
        <f t="shared" si="12"/>
        <v>177.34</v>
      </c>
      <c r="D168" s="17">
        <f t="shared" si="13"/>
        <v>1129.3200000000002</v>
      </c>
      <c r="E168" s="17">
        <f t="shared" si="14"/>
        <v>31610.000000000004</v>
      </c>
      <c r="G168" s="21"/>
    </row>
    <row r="169" spans="1:7" ht="12.75">
      <c r="A169" s="21">
        <f t="shared" si="10"/>
        <v>155</v>
      </c>
      <c r="B169" s="17">
        <f t="shared" si="11"/>
        <v>1306.66</v>
      </c>
      <c r="C169" s="17">
        <f t="shared" si="12"/>
        <v>171.22</v>
      </c>
      <c r="D169" s="17">
        <f t="shared" si="13"/>
        <v>1135.44</v>
      </c>
      <c r="E169" s="17">
        <f t="shared" si="14"/>
        <v>30474.560000000005</v>
      </c>
      <c r="G169" s="21"/>
    </row>
    <row r="170" spans="1:7" ht="12.75">
      <c r="A170" s="21">
        <f t="shared" si="10"/>
        <v>156</v>
      </c>
      <c r="B170" s="17">
        <f t="shared" si="11"/>
        <v>1306.66</v>
      </c>
      <c r="C170" s="17">
        <f t="shared" si="12"/>
        <v>165.07</v>
      </c>
      <c r="D170" s="17">
        <f t="shared" si="13"/>
        <v>1141.5900000000001</v>
      </c>
      <c r="E170" s="17">
        <f t="shared" si="14"/>
        <v>29332.970000000005</v>
      </c>
      <c r="G170" s="21"/>
    </row>
    <row r="171" spans="1:7" ht="12.75">
      <c r="A171" s="21">
        <f t="shared" si="10"/>
        <v>157</v>
      </c>
      <c r="B171" s="17">
        <f t="shared" si="11"/>
        <v>1306.66</v>
      </c>
      <c r="C171" s="17">
        <f t="shared" si="12"/>
        <v>158.89</v>
      </c>
      <c r="D171" s="17">
        <f t="shared" si="13"/>
        <v>1147.77</v>
      </c>
      <c r="E171" s="17">
        <f t="shared" si="14"/>
        <v>28185.200000000004</v>
      </c>
      <c r="G171" s="21"/>
    </row>
    <row r="172" spans="1:7" ht="12.75">
      <c r="A172" s="21">
        <f t="shared" si="10"/>
        <v>158</v>
      </c>
      <c r="B172" s="17">
        <f t="shared" si="11"/>
        <v>1306.66</v>
      </c>
      <c r="C172" s="17">
        <f t="shared" si="12"/>
        <v>152.67</v>
      </c>
      <c r="D172" s="17">
        <f t="shared" si="13"/>
        <v>1153.99</v>
      </c>
      <c r="E172" s="17">
        <f t="shared" si="14"/>
        <v>27031.210000000003</v>
      </c>
      <c r="G172" s="21"/>
    </row>
    <row r="173" spans="1:7" ht="12.75">
      <c r="A173" s="21">
        <f t="shared" si="10"/>
        <v>159</v>
      </c>
      <c r="B173" s="17">
        <f t="shared" si="11"/>
        <v>1306.66</v>
      </c>
      <c r="C173" s="17">
        <f t="shared" si="12"/>
        <v>146.42</v>
      </c>
      <c r="D173" s="17">
        <f t="shared" si="13"/>
        <v>1160.24</v>
      </c>
      <c r="E173" s="17">
        <f t="shared" si="14"/>
        <v>25870.97</v>
      </c>
      <c r="G173" s="21"/>
    </row>
    <row r="174" spans="1:7" ht="12.75">
      <c r="A174" s="21">
        <f t="shared" si="10"/>
        <v>160</v>
      </c>
      <c r="B174" s="17">
        <f t="shared" si="11"/>
        <v>1306.66</v>
      </c>
      <c r="C174" s="17">
        <f t="shared" si="12"/>
        <v>140.13</v>
      </c>
      <c r="D174" s="17">
        <f t="shared" si="13"/>
        <v>1166.5300000000002</v>
      </c>
      <c r="E174" s="17">
        <f t="shared" si="14"/>
        <v>24704.440000000002</v>
      </c>
      <c r="G174" s="21"/>
    </row>
    <row r="175" spans="1:7" ht="12.75">
      <c r="A175" s="21">
        <f t="shared" si="10"/>
        <v>161</v>
      </c>
      <c r="B175" s="17">
        <f t="shared" si="11"/>
        <v>1306.66</v>
      </c>
      <c r="C175" s="17">
        <f t="shared" si="12"/>
        <v>133.82</v>
      </c>
      <c r="D175" s="17">
        <f t="shared" si="13"/>
        <v>1172.8400000000001</v>
      </c>
      <c r="E175" s="17">
        <f t="shared" si="14"/>
        <v>23531.600000000002</v>
      </c>
      <c r="G175" s="21"/>
    </row>
    <row r="176" spans="1:7" ht="12.75">
      <c r="A176" s="21">
        <f t="shared" si="10"/>
        <v>162</v>
      </c>
      <c r="B176" s="17">
        <f t="shared" si="11"/>
        <v>1306.66</v>
      </c>
      <c r="C176" s="17">
        <f t="shared" si="12"/>
        <v>127.46</v>
      </c>
      <c r="D176" s="17">
        <f t="shared" si="13"/>
        <v>1179.2</v>
      </c>
      <c r="E176" s="17">
        <f t="shared" si="14"/>
        <v>22352.4</v>
      </c>
      <c r="G176" s="21"/>
    </row>
    <row r="177" spans="1:7" ht="12.75">
      <c r="A177" s="21">
        <f t="shared" si="10"/>
        <v>163</v>
      </c>
      <c r="B177" s="17">
        <f t="shared" si="11"/>
        <v>1306.66</v>
      </c>
      <c r="C177" s="17">
        <f t="shared" si="12"/>
        <v>121.08</v>
      </c>
      <c r="D177" s="17">
        <f t="shared" si="13"/>
        <v>1185.5800000000002</v>
      </c>
      <c r="E177" s="17">
        <f t="shared" si="14"/>
        <v>21166.82</v>
      </c>
      <c r="G177" s="21"/>
    </row>
    <row r="178" spans="1:7" ht="12.75">
      <c r="A178" s="21">
        <f t="shared" si="10"/>
        <v>164</v>
      </c>
      <c r="B178" s="17">
        <f t="shared" si="11"/>
        <v>1306.66</v>
      </c>
      <c r="C178" s="17">
        <f t="shared" si="12"/>
        <v>114.65</v>
      </c>
      <c r="D178" s="17">
        <f t="shared" si="13"/>
        <v>1192.01</v>
      </c>
      <c r="E178" s="17">
        <f t="shared" si="14"/>
        <v>19974.81</v>
      </c>
      <c r="G178" s="21"/>
    </row>
    <row r="179" spans="1:7" ht="12.75">
      <c r="A179" s="21">
        <f t="shared" si="10"/>
        <v>165</v>
      </c>
      <c r="B179" s="17">
        <f t="shared" si="11"/>
        <v>1306.66</v>
      </c>
      <c r="C179" s="17">
        <f t="shared" si="12"/>
        <v>108.2</v>
      </c>
      <c r="D179" s="17">
        <f t="shared" si="13"/>
        <v>1198.46</v>
      </c>
      <c r="E179" s="17">
        <f t="shared" si="14"/>
        <v>18776.350000000002</v>
      </c>
      <c r="G179" s="21"/>
    </row>
    <row r="180" spans="1:7" ht="12.75">
      <c r="A180" s="21">
        <f t="shared" si="10"/>
        <v>166</v>
      </c>
      <c r="B180" s="17">
        <f t="shared" si="11"/>
        <v>1306.66</v>
      </c>
      <c r="C180" s="17">
        <f t="shared" si="12"/>
        <v>101.71</v>
      </c>
      <c r="D180" s="17">
        <f t="shared" si="13"/>
        <v>1204.95</v>
      </c>
      <c r="E180" s="17">
        <f t="shared" si="14"/>
        <v>17571.4</v>
      </c>
      <c r="G180" s="21"/>
    </row>
    <row r="181" spans="1:7" ht="12.75">
      <c r="A181" s="21">
        <f t="shared" si="10"/>
        <v>167</v>
      </c>
      <c r="B181" s="17">
        <f t="shared" si="11"/>
        <v>1306.66</v>
      </c>
      <c r="C181" s="17">
        <f t="shared" si="12"/>
        <v>95.18</v>
      </c>
      <c r="D181" s="17">
        <f t="shared" si="13"/>
        <v>1211.48</v>
      </c>
      <c r="E181" s="17">
        <f t="shared" si="14"/>
        <v>16359.920000000002</v>
      </c>
      <c r="G181" s="21"/>
    </row>
    <row r="182" spans="1:7" ht="12.75">
      <c r="A182" s="21">
        <f t="shared" si="10"/>
        <v>168</v>
      </c>
      <c r="B182" s="17">
        <f t="shared" si="11"/>
        <v>1306.66</v>
      </c>
      <c r="C182" s="17">
        <f t="shared" si="12"/>
        <v>88.62</v>
      </c>
      <c r="D182" s="17">
        <f t="shared" si="13"/>
        <v>1218.04</v>
      </c>
      <c r="E182" s="17">
        <f t="shared" si="14"/>
        <v>15141.880000000001</v>
      </c>
      <c r="G182" s="21"/>
    </row>
    <row r="183" spans="1:7" ht="12.75">
      <c r="A183" s="21">
        <f t="shared" si="10"/>
        <v>169</v>
      </c>
      <c r="B183" s="17">
        <f t="shared" si="11"/>
        <v>1306.66</v>
      </c>
      <c r="C183" s="17">
        <f t="shared" si="12"/>
        <v>82.02</v>
      </c>
      <c r="D183" s="17">
        <f t="shared" si="13"/>
        <v>1224.64</v>
      </c>
      <c r="E183" s="17">
        <f t="shared" si="14"/>
        <v>13917.240000000002</v>
      </c>
      <c r="G183" s="21"/>
    </row>
    <row r="184" spans="1:7" ht="12.75">
      <c r="A184" s="21">
        <f t="shared" si="10"/>
        <v>170</v>
      </c>
      <c r="B184" s="17">
        <f t="shared" si="11"/>
        <v>1306.66</v>
      </c>
      <c r="C184" s="17">
        <f t="shared" si="12"/>
        <v>75.39</v>
      </c>
      <c r="D184" s="17">
        <f t="shared" si="13"/>
        <v>1231.27</v>
      </c>
      <c r="E184" s="17">
        <f t="shared" si="14"/>
        <v>12685.970000000001</v>
      </c>
      <c r="G184" s="21"/>
    </row>
    <row r="185" spans="1:7" ht="12.75">
      <c r="A185" s="21">
        <f t="shared" si="10"/>
        <v>171</v>
      </c>
      <c r="B185" s="17">
        <f t="shared" si="11"/>
        <v>1306.66</v>
      </c>
      <c r="C185" s="17">
        <f t="shared" si="12"/>
        <v>68.72</v>
      </c>
      <c r="D185" s="17">
        <f t="shared" si="13"/>
        <v>1237.94</v>
      </c>
      <c r="E185" s="17">
        <f t="shared" si="14"/>
        <v>11448.03</v>
      </c>
      <c r="G185" s="21"/>
    </row>
    <row r="186" spans="1:7" ht="12.75">
      <c r="A186" s="21">
        <f t="shared" si="10"/>
        <v>172</v>
      </c>
      <c r="B186" s="17">
        <f t="shared" si="11"/>
        <v>1306.66</v>
      </c>
      <c r="C186" s="17">
        <f t="shared" si="12"/>
        <v>62.01</v>
      </c>
      <c r="D186" s="17">
        <f t="shared" si="13"/>
        <v>1244.65</v>
      </c>
      <c r="E186" s="17">
        <f t="shared" si="14"/>
        <v>10203.380000000001</v>
      </c>
      <c r="G186" s="21"/>
    </row>
    <row r="187" spans="1:7" ht="12.75">
      <c r="A187" s="21">
        <f t="shared" si="10"/>
        <v>173</v>
      </c>
      <c r="B187" s="17">
        <f t="shared" si="11"/>
        <v>1306.66</v>
      </c>
      <c r="C187" s="17">
        <f t="shared" si="12"/>
        <v>55.27</v>
      </c>
      <c r="D187" s="17">
        <f t="shared" si="13"/>
        <v>1251.39</v>
      </c>
      <c r="E187" s="17">
        <f t="shared" si="14"/>
        <v>8951.990000000002</v>
      </c>
      <c r="G187" s="21"/>
    </row>
    <row r="188" spans="1:7" ht="12.75">
      <c r="A188" s="21">
        <f t="shared" si="10"/>
        <v>174</v>
      </c>
      <c r="B188" s="17">
        <f t="shared" si="11"/>
        <v>1306.66</v>
      </c>
      <c r="C188" s="17">
        <f t="shared" si="12"/>
        <v>48.49</v>
      </c>
      <c r="D188" s="17">
        <f t="shared" si="13"/>
        <v>1258.17</v>
      </c>
      <c r="E188" s="17">
        <f t="shared" si="14"/>
        <v>7693.8200000000015</v>
      </c>
      <c r="G188" s="21"/>
    </row>
    <row r="189" spans="1:7" ht="12.75">
      <c r="A189" s="21">
        <f t="shared" si="10"/>
        <v>175</v>
      </c>
      <c r="B189" s="17">
        <f t="shared" si="11"/>
        <v>1306.66</v>
      </c>
      <c r="C189" s="17">
        <f t="shared" si="12"/>
        <v>41.67</v>
      </c>
      <c r="D189" s="17">
        <f t="shared" si="13"/>
        <v>1264.99</v>
      </c>
      <c r="E189" s="17">
        <f t="shared" si="14"/>
        <v>6428.830000000002</v>
      </c>
      <c r="G189" s="21"/>
    </row>
    <row r="190" spans="1:7" ht="12.75">
      <c r="A190" s="21">
        <f t="shared" si="10"/>
        <v>176</v>
      </c>
      <c r="B190" s="17">
        <f t="shared" si="11"/>
        <v>1306.66</v>
      </c>
      <c r="C190" s="17">
        <f t="shared" si="12"/>
        <v>34.82</v>
      </c>
      <c r="D190" s="17">
        <f t="shared" si="13"/>
        <v>1271.8400000000001</v>
      </c>
      <c r="E190" s="17">
        <f t="shared" si="14"/>
        <v>5156.990000000002</v>
      </c>
      <c r="G190" s="21"/>
    </row>
    <row r="191" spans="1:7" ht="12.75">
      <c r="A191" s="21">
        <f t="shared" si="10"/>
        <v>177</v>
      </c>
      <c r="B191" s="17">
        <f t="shared" si="11"/>
        <v>1306.66</v>
      </c>
      <c r="C191" s="17">
        <f t="shared" si="12"/>
        <v>27.93</v>
      </c>
      <c r="D191" s="17">
        <f t="shared" si="13"/>
        <v>1278.73</v>
      </c>
      <c r="E191" s="17">
        <f t="shared" si="14"/>
        <v>3878.2600000000016</v>
      </c>
      <c r="G191" s="21"/>
    </row>
    <row r="192" spans="1:7" ht="12.75">
      <c r="A192" s="21">
        <f t="shared" si="10"/>
        <v>178</v>
      </c>
      <c r="B192" s="17">
        <f t="shared" si="11"/>
        <v>1306.66</v>
      </c>
      <c r="C192" s="17">
        <f t="shared" si="12"/>
        <v>21.01</v>
      </c>
      <c r="D192" s="17">
        <f t="shared" si="13"/>
        <v>1285.65</v>
      </c>
      <c r="E192" s="17">
        <f t="shared" si="14"/>
        <v>2592.6100000000015</v>
      </c>
      <c r="G192" s="21"/>
    </row>
    <row r="193" spans="1:7" ht="12.75">
      <c r="A193" s="21">
        <f t="shared" si="10"/>
        <v>179</v>
      </c>
      <c r="B193" s="17">
        <f t="shared" si="11"/>
        <v>1306.66</v>
      </c>
      <c r="C193" s="17">
        <f t="shared" si="12"/>
        <v>14.04</v>
      </c>
      <c r="D193" s="17">
        <f t="shared" si="13"/>
        <v>1292.6200000000001</v>
      </c>
      <c r="E193" s="17">
        <f t="shared" si="14"/>
        <v>1299.9900000000014</v>
      </c>
      <c r="G193" s="21"/>
    </row>
    <row r="194" spans="1:7" ht="12.75">
      <c r="A194" s="21">
        <f t="shared" si="10"/>
        <v>180</v>
      </c>
      <c r="B194" s="17">
        <f t="shared" si="11"/>
        <v>1307.0316125000013</v>
      </c>
      <c r="C194" s="17">
        <f t="shared" si="12"/>
        <v>7.04</v>
      </c>
      <c r="D194" s="17">
        <f t="shared" si="13"/>
        <v>1299.9916125000013</v>
      </c>
      <c r="E194" s="17">
        <f t="shared" si="14"/>
        <v>-0.0016124999999647116</v>
      </c>
      <c r="G194" s="21"/>
    </row>
    <row r="195" spans="1:7" ht="12.75">
      <c r="A195" s="21">
        <f t="shared" si="10"/>
        <v>181</v>
      </c>
      <c r="B195" s="17">
        <f t="shared" si="11"/>
        <v>0</v>
      </c>
      <c r="C195" s="17">
        <f t="shared" si="12"/>
        <v>0</v>
      </c>
      <c r="D195" s="17">
        <f t="shared" si="13"/>
        <v>0</v>
      </c>
      <c r="E195" s="17">
        <f t="shared" si="14"/>
        <v>0</v>
      </c>
      <c r="G195" s="21"/>
    </row>
    <row r="196" spans="1:7" ht="12.75">
      <c r="A196" s="21">
        <f t="shared" si="10"/>
        <v>182</v>
      </c>
      <c r="B196" s="17">
        <f t="shared" si="11"/>
        <v>0</v>
      </c>
      <c r="C196" s="17">
        <f t="shared" si="12"/>
        <v>0</v>
      </c>
      <c r="D196" s="17">
        <f t="shared" si="13"/>
        <v>0</v>
      </c>
      <c r="E196" s="17">
        <f t="shared" si="14"/>
        <v>0</v>
      </c>
      <c r="G196" s="21"/>
    </row>
    <row r="197" spans="1:7" ht="12.75">
      <c r="A197" s="21">
        <f t="shared" si="10"/>
        <v>183</v>
      </c>
      <c r="B197" s="17">
        <f t="shared" si="11"/>
        <v>0</v>
      </c>
      <c r="C197" s="17">
        <f t="shared" si="12"/>
        <v>0</v>
      </c>
      <c r="D197" s="17">
        <f t="shared" si="13"/>
        <v>0</v>
      </c>
      <c r="E197" s="17">
        <f t="shared" si="14"/>
        <v>0</v>
      </c>
      <c r="G197" s="21"/>
    </row>
    <row r="198" spans="1:7" ht="12.75">
      <c r="A198" s="21">
        <f t="shared" si="10"/>
        <v>184</v>
      </c>
      <c r="B198" s="17">
        <f t="shared" si="11"/>
        <v>0</v>
      </c>
      <c r="C198" s="17">
        <f t="shared" si="12"/>
        <v>0</v>
      </c>
      <c r="D198" s="17">
        <f t="shared" si="13"/>
        <v>0</v>
      </c>
      <c r="E198" s="17">
        <f t="shared" si="14"/>
        <v>0</v>
      </c>
      <c r="G198" s="21"/>
    </row>
    <row r="199" spans="1:7" ht="12.75">
      <c r="A199" s="21">
        <f t="shared" si="10"/>
        <v>185</v>
      </c>
      <c r="B199" s="17">
        <f t="shared" si="11"/>
        <v>0</v>
      </c>
      <c r="C199" s="17">
        <f t="shared" si="12"/>
        <v>0</v>
      </c>
      <c r="D199" s="17">
        <f t="shared" si="13"/>
        <v>0</v>
      </c>
      <c r="E199" s="17">
        <f t="shared" si="14"/>
        <v>0</v>
      </c>
      <c r="G199" s="21"/>
    </row>
    <row r="200" spans="1:7" ht="12.75">
      <c r="A200" s="21">
        <f t="shared" si="10"/>
        <v>186</v>
      </c>
      <c r="B200" s="17">
        <f t="shared" si="11"/>
        <v>0</v>
      </c>
      <c r="C200" s="17">
        <f t="shared" si="12"/>
        <v>0</v>
      </c>
      <c r="D200" s="17">
        <f t="shared" si="13"/>
        <v>0</v>
      </c>
      <c r="E200" s="17">
        <f t="shared" si="14"/>
        <v>0</v>
      </c>
      <c r="G200" s="21"/>
    </row>
    <row r="201" spans="1:7" ht="12.75">
      <c r="A201" s="21">
        <f t="shared" si="10"/>
        <v>187</v>
      </c>
      <c r="B201" s="17">
        <f t="shared" si="11"/>
        <v>0</v>
      </c>
      <c r="C201" s="17">
        <f t="shared" si="12"/>
        <v>0</v>
      </c>
      <c r="D201" s="17">
        <f t="shared" si="13"/>
        <v>0</v>
      </c>
      <c r="E201" s="17">
        <f t="shared" si="14"/>
        <v>0</v>
      </c>
      <c r="G201" s="21"/>
    </row>
    <row r="202" spans="1:7" ht="12.75">
      <c r="A202" s="21">
        <f t="shared" si="10"/>
        <v>188</v>
      </c>
      <c r="B202" s="17">
        <f t="shared" si="11"/>
        <v>0</v>
      </c>
      <c r="C202" s="17">
        <f t="shared" si="12"/>
        <v>0</v>
      </c>
      <c r="D202" s="17">
        <f t="shared" si="13"/>
        <v>0</v>
      </c>
      <c r="E202" s="17">
        <f t="shared" si="14"/>
        <v>0</v>
      </c>
      <c r="G202" s="21"/>
    </row>
    <row r="203" spans="1:7" ht="12.75">
      <c r="A203" s="21">
        <f t="shared" si="10"/>
        <v>189</v>
      </c>
      <c r="B203" s="17">
        <f t="shared" si="11"/>
        <v>0</v>
      </c>
      <c r="C203" s="17">
        <f t="shared" si="12"/>
        <v>0</v>
      </c>
      <c r="D203" s="17">
        <f t="shared" si="13"/>
        <v>0</v>
      </c>
      <c r="E203" s="17">
        <f t="shared" si="14"/>
        <v>0</v>
      </c>
      <c r="G203" s="21"/>
    </row>
    <row r="204" spans="1:7" ht="12.75">
      <c r="A204" s="21">
        <f t="shared" si="10"/>
        <v>190</v>
      </c>
      <c r="B204" s="17">
        <f t="shared" si="11"/>
        <v>0</v>
      </c>
      <c r="C204" s="17">
        <f t="shared" si="12"/>
        <v>0</v>
      </c>
      <c r="D204" s="17">
        <f t="shared" si="13"/>
        <v>0</v>
      </c>
      <c r="E204" s="17">
        <f t="shared" si="14"/>
        <v>0</v>
      </c>
      <c r="G204" s="21"/>
    </row>
    <row r="205" spans="1:7" ht="12.75">
      <c r="A205" s="21">
        <f t="shared" si="10"/>
        <v>191</v>
      </c>
      <c r="B205" s="17">
        <f t="shared" si="11"/>
        <v>0</v>
      </c>
      <c r="C205" s="17">
        <f t="shared" si="12"/>
        <v>0</v>
      </c>
      <c r="D205" s="17">
        <f t="shared" si="13"/>
        <v>0</v>
      </c>
      <c r="E205" s="17">
        <f t="shared" si="14"/>
        <v>0</v>
      </c>
      <c r="G205" s="21"/>
    </row>
    <row r="206" spans="1:7" ht="12.75">
      <c r="A206" s="21">
        <f t="shared" si="10"/>
        <v>192</v>
      </c>
      <c r="B206" s="17">
        <f t="shared" si="11"/>
        <v>0</v>
      </c>
      <c r="C206" s="17">
        <f t="shared" si="12"/>
        <v>0</v>
      </c>
      <c r="D206" s="17">
        <f t="shared" si="13"/>
        <v>0</v>
      </c>
      <c r="E206" s="17">
        <f t="shared" si="14"/>
        <v>0</v>
      </c>
      <c r="G206" s="21"/>
    </row>
    <row r="207" spans="1:7" ht="12.75">
      <c r="A207" s="21">
        <f aca="true" t="shared" si="15" ref="A207:A270">A206+1</f>
        <v>193</v>
      </c>
      <c r="B207" s="17">
        <f aca="true" t="shared" si="16" ref="B207:B270">IF(E206&lt;1,0,IF(E206&gt;B$8,B$8,(1+D$2)*E206))</f>
        <v>0</v>
      </c>
      <c r="C207" s="17">
        <f aca="true" t="shared" si="17" ref="C207:C270">IF(E206&lt;1,0,ROUND(E206*D$2,2))</f>
        <v>0</v>
      </c>
      <c r="D207" s="17">
        <f aca="true" t="shared" si="18" ref="D207:D270">IF(E206&lt;1,0,B207-C207+G207)</f>
        <v>0</v>
      </c>
      <c r="E207" s="17">
        <f aca="true" t="shared" si="19" ref="E207:E270">IF(E206&lt;1,0,E206-D207)</f>
        <v>0</v>
      </c>
      <c r="G207" s="21"/>
    </row>
    <row r="208" spans="1:7" ht="12.75">
      <c r="A208" s="21">
        <f t="shared" si="15"/>
        <v>194</v>
      </c>
      <c r="B208" s="17">
        <f t="shared" si="16"/>
        <v>0</v>
      </c>
      <c r="C208" s="17">
        <f t="shared" si="17"/>
        <v>0</v>
      </c>
      <c r="D208" s="17">
        <f t="shared" si="18"/>
        <v>0</v>
      </c>
      <c r="E208" s="17">
        <f t="shared" si="19"/>
        <v>0</v>
      </c>
      <c r="G208" s="21"/>
    </row>
    <row r="209" spans="1:7" ht="12.75">
      <c r="A209" s="21">
        <f t="shared" si="15"/>
        <v>195</v>
      </c>
      <c r="B209" s="17">
        <f t="shared" si="16"/>
        <v>0</v>
      </c>
      <c r="C209" s="17">
        <f t="shared" si="17"/>
        <v>0</v>
      </c>
      <c r="D209" s="17">
        <f t="shared" si="18"/>
        <v>0</v>
      </c>
      <c r="E209" s="17">
        <f t="shared" si="19"/>
        <v>0</v>
      </c>
      <c r="G209" s="21"/>
    </row>
    <row r="210" spans="1:7" ht="12.75">
      <c r="A210" s="21">
        <f t="shared" si="15"/>
        <v>196</v>
      </c>
      <c r="B210" s="17">
        <f t="shared" si="16"/>
        <v>0</v>
      </c>
      <c r="C210" s="17">
        <f t="shared" si="17"/>
        <v>0</v>
      </c>
      <c r="D210" s="17">
        <f t="shared" si="18"/>
        <v>0</v>
      </c>
      <c r="E210" s="17">
        <f t="shared" si="19"/>
        <v>0</v>
      </c>
      <c r="G210" s="21"/>
    </row>
    <row r="211" spans="1:7" ht="12.75">
      <c r="A211" s="21">
        <f t="shared" si="15"/>
        <v>197</v>
      </c>
      <c r="B211" s="17">
        <f t="shared" si="16"/>
        <v>0</v>
      </c>
      <c r="C211" s="17">
        <f t="shared" si="17"/>
        <v>0</v>
      </c>
      <c r="D211" s="17">
        <f t="shared" si="18"/>
        <v>0</v>
      </c>
      <c r="E211" s="17">
        <f t="shared" si="19"/>
        <v>0</v>
      </c>
      <c r="G211" s="21"/>
    </row>
    <row r="212" spans="1:7" ht="12.75">
      <c r="A212" s="21">
        <f t="shared" si="15"/>
        <v>198</v>
      </c>
      <c r="B212" s="17">
        <f t="shared" si="16"/>
        <v>0</v>
      </c>
      <c r="C212" s="17">
        <f t="shared" si="17"/>
        <v>0</v>
      </c>
      <c r="D212" s="17">
        <f t="shared" si="18"/>
        <v>0</v>
      </c>
      <c r="E212" s="17">
        <f t="shared" si="19"/>
        <v>0</v>
      </c>
      <c r="G212" s="21"/>
    </row>
    <row r="213" spans="1:7" ht="12.75">
      <c r="A213" s="21">
        <f t="shared" si="15"/>
        <v>199</v>
      </c>
      <c r="B213" s="17">
        <f t="shared" si="16"/>
        <v>0</v>
      </c>
      <c r="C213" s="17">
        <f t="shared" si="17"/>
        <v>0</v>
      </c>
      <c r="D213" s="17">
        <f t="shared" si="18"/>
        <v>0</v>
      </c>
      <c r="E213" s="17">
        <f t="shared" si="19"/>
        <v>0</v>
      </c>
      <c r="G213" s="21"/>
    </row>
    <row r="214" spans="1:7" ht="12.75">
      <c r="A214" s="21">
        <f t="shared" si="15"/>
        <v>200</v>
      </c>
      <c r="B214" s="17">
        <f t="shared" si="16"/>
        <v>0</v>
      </c>
      <c r="C214" s="17">
        <f t="shared" si="17"/>
        <v>0</v>
      </c>
      <c r="D214" s="17">
        <f t="shared" si="18"/>
        <v>0</v>
      </c>
      <c r="E214" s="17">
        <f t="shared" si="19"/>
        <v>0</v>
      </c>
      <c r="G214" s="21"/>
    </row>
    <row r="215" spans="1:7" ht="12.75">
      <c r="A215" s="21">
        <f t="shared" si="15"/>
        <v>201</v>
      </c>
      <c r="B215" s="17">
        <f t="shared" si="16"/>
        <v>0</v>
      </c>
      <c r="C215" s="17">
        <f t="shared" si="17"/>
        <v>0</v>
      </c>
      <c r="D215" s="17">
        <f t="shared" si="18"/>
        <v>0</v>
      </c>
      <c r="E215" s="17">
        <f t="shared" si="19"/>
        <v>0</v>
      </c>
      <c r="G215" s="21"/>
    </row>
    <row r="216" spans="1:7" ht="12.75">
      <c r="A216" s="21">
        <f t="shared" si="15"/>
        <v>202</v>
      </c>
      <c r="B216" s="17">
        <f t="shared" si="16"/>
        <v>0</v>
      </c>
      <c r="C216" s="17">
        <f t="shared" si="17"/>
        <v>0</v>
      </c>
      <c r="D216" s="17">
        <f t="shared" si="18"/>
        <v>0</v>
      </c>
      <c r="E216" s="17">
        <f t="shared" si="19"/>
        <v>0</v>
      </c>
      <c r="G216" s="21"/>
    </row>
    <row r="217" spans="1:7" ht="12.75">
      <c r="A217" s="21">
        <f t="shared" si="15"/>
        <v>203</v>
      </c>
      <c r="B217" s="17">
        <f t="shared" si="16"/>
        <v>0</v>
      </c>
      <c r="C217" s="17">
        <f t="shared" si="17"/>
        <v>0</v>
      </c>
      <c r="D217" s="17">
        <f t="shared" si="18"/>
        <v>0</v>
      </c>
      <c r="E217" s="17">
        <f t="shared" si="19"/>
        <v>0</v>
      </c>
      <c r="G217" s="21"/>
    </row>
    <row r="218" spans="1:7" ht="12.75">
      <c r="A218" s="21">
        <f t="shared" si="15"/>
        <v>204</v>
      </c>
      <c r="B218" s="17">
        <f t="shared" si="16"/>
        <v>0</v>
      </c>
      <c r="C218" s="17">
        <f t="shared" si="17"/>
        <v>0</v>
      </c>
      <c r="D218" s="17">
        <f t="shared" si="18"/>
        <v>0</v>
      </c>
      <c r="E218" s="17">
        <f t="shared" si="19"/>
        <v>0</v>
      </c>
      <c r="G218" s="21"/>
    </row>
    <row r="219" spans="1:7" ht="12.75">
      <c r="A219" s="21">
        <f t="shared" si="15"/>
        <v>205</v>
      </c>
      <c r="B219" s="17">
        <f t="shared" si="16"/>
        <v>0</v>
      </c>
      <c r="C219" s="17">
        <f t="shared" si="17"/>
        <v>0</v>
      </c>
      <c r="D219" s="17">
        <f t="shared" si="18"/>
        <v>0</v>
      </c>
      <c r="E219" s="17">
        <f t="shared" si="19"/>
        <v>0</v>
      </c>
      <c r="G219" s="21"/>
    </row>
    <row r="220" spans="1:7" ht="12.75">
      <c r="A220" s="21">
        <f t="shared" si="15"/>
        <v>206</v>
      </c>
      <c r="B220" s="17">
        <f t="shared" si="16"/>
        <v>0</v>
      </c>
      <c r="C220" s="17">
        <f t="shared" si="17"/>
        <v>0</v>
      </c>
      <c r="D220" s="17">
        <f t="shared" si="18"/>
        <v>0</v>
      </c>
      <c r="E220" s="17">
        <f t="shared" si="19"/>
        <v>0</v>
      </c>
      <c r="G220" s="21"/>
    </row>
    <row r="221" spans="1:7" ht="12.75">
      <c r="A221" s="21">
        <f t="shared" si="15"/>
        <v>207</v>
      </c>
      <c r="B221" s="17">
        <f t="shared" si="16"/>
        <v>0</v>
      </c>
      <c r="C221" s="17">
        <f t="shared" si="17"/>
        <v>0</v>
      </c>
      <c r="D221" s="17">
        <f t="shared" si="18"/>
        <v>0</v>
      </c>
      <c r="E221" s="17">
        <f t="shared" si="19"/>
        <v>0</v>
      </c>
      <c r="G221" s="21"/>
    </row>
    <row r="222" spans="1:7" ht="12.75">
      <c r="A222" s="21">
        <f t="shared" si="15"/>
        <v>208</v>
      </c>
      <c r="B222" s="17">
        <f t="shared" si="16"/>
        <v>0</v>
      </c>
      <c r="C222" s="17">
        <f t="shared" si="17"/>
        <v>0</v>
      </c>
      <c r="D222" s="17">
        <f t="shared" si="18"/>
        <v>0</v>
      </c>
      <c r="E222" s="17">
        <f t="shared" si="19"/>
        <v>0</v>
      </c>
      <c r="G222" s="21"/>
    </row>
    <row r="223" spans="1:7" ht="12.75">
      <c r="A223" s="21">
        <f t="shared" si="15"/>
        <v>209</v>
      </c>
      <c r="B223" s="17">
        <f t="shared" si="16"/>
        <v>0</v>
      </c>
      <c r="C223" s="17">
        <f t="shared" si="17"/>
        <v>0</v>
      </c>
      <c r="D223" s="17">
        <f t="shared" si="18"/>
        <v>0</v>
      </c>
      <c r="E223" s="17">
        <f t="shared" si="19"/>
        <v>0</v>
      </c>
      <c r="G223" s="21"/>
    </row>
    <row r="224" spans="1:7" ht="12.75">
      <c r="A224" s="21">
        <f t="shared" si="15"/>
        <v>210</v>
      </c>
      <c r="B224" s="17">
        <f t="shared" si="16"/>
        <v>0</v>
      </c>
      <c r="C224" s="17">
        <f t="shared" si="17"/>
        <v>0</v>
      </c>
      <c r="D224" s="17">
        <f t="shared" si="18"/>
        <v>0</v>
      </c>
      <c r="E224" s="17">
        <f t="shared" si="19"/>
        <v>0</v>
      </c>
      <c r="G224" s="21"/>
    </row>
    <row r="225" spans="1:7" ht="12.75">
      <c r="A225" s="21">
        <f t="shared" si="15"/>
        <v>211</v>
      </c>
      <c r="B225" s="17">
        <f t="shared" si="16"/>
        <v>0</v>
      </c>
      <c r="C225" s="17">
        <f t="shared" si="17"/>
        <v>0</v>
      </c>
      <c r="D225" s="17">
        <f t="shared" si="18"/>
        <v>0</v>
      </c>
      <c r="E225" s="17">
        <f t="shared" si="19"/>
        <v>0</v>
      </c>
      <c r="G225" s="21"/>
    </row>
    <row r="226" spans="1:7" ht="12.75">
      <c r="A226" s="21">
        <f t="shared" si="15"/>
        <v>212</v>
      </c>
      <c r="B226" s="17">
        <f t="shared" si="16"/>
        <v>0</v>
      </c>
      <c r="C226" s="17">
        <f t="shared" si="17"/>
        <v>0</v>
      </c>
      <c r="D226" s="17">
        <f t="shared" si="18"/>
        <v>0</v>
      </c>
      <c r="E226" s="17">
        <f t="shared" si="19"/>
        <v>0</v>
      </c>
      <c r="G226" s="21"/>
    </row>
    <row r="227" spans="1:7" ht="12.75">
      <c r="A227" s="21">
        <f t="shared" si="15"/>
        <v>213</v>
      </c>
      <c r="B227" s="17">
        <f t="shared" si="16"/>
        <v>0</v>
      </c>
      <c r="C227" s="17">
        <f t="shared" si="17"/>
        <v>0</v>
      </c>
      <c r="D227" s="17">
        <f t="shared" si="18"/>
        <v>0</v>
      </c>
      <c r="E227" s="17">
        <f t="shared" si="19"/>
        <v>0</v>
      </c>
      <c r="G227" s="21"/>
    </row>
    <row r="228" spans="1:7" ht="12.75">
      <c r="A228" s="21">
        <f t="shared" si="15"/>
        <v>214</v>
      </c>
      <c r="B228" s="17">
        <f t="shared" si="16"/>
        <v>0</v>
      </c>
      <c r="C228" s="17">
        <f t="shared" si="17"/>
        <v>0</v>
      </c>
      <c r="D228" s="17">
        <f t="shared" si="18"/>
        <v>0</v>
      </c>
      <c r="E228" s="17">
        <f t="shared" si="19"/>
        <v>0</v>
      </c>
      <c r="G228" s="21"/>
    </row>
    <row r="229" spans="1:7" ht="12.75">
      <c r="A229" s="21">
        <f t="shared" si="15"/>
        <v>215</v>
      </c>
      <c r="B229" s="17">
        <f t="shared" si="16"/>
        <v>0</v>
      </c>
      <c r="C229" s="17">
        <f t="shared" si="17"/>
        <v>0</v>
      </c>
      <c r="D229" s="17">
        <f t="shared" si="18"/>
        <v>0</v>
      </c>
      <c r="E229" s="17">
        <f t="shared" si="19"/>
        <v>0</v>
      </c>
      <c r="G229" s="21"/>
    </row>
    <row r="230" spans="1:7" ht="12.75">
      <c r="A230" s="21">
        <f t="shared" si="15"/>
        <v>216</v>
      </c>
      <c r="B230" s="17">
        <f t="shared" si="16"/>
        <v>0</v>
      </c>
      <c r="C230" s="17">
        <f t="shared" si="17"/>
        <v>0</v>
      </c>
      <c r="D230" s="17">
        <f t="shared" si="18"/>
        <v>0</v>
      </c>
      <c r="E230" s="17">
        <f t="shared" si="19"/>
        <v>0</v>
      </c>
      <c r="G230" s="21"/>
    </row>
    <row r="231" spans="1:7" ht="12.75">
      <c r="A231" s="21">
        <f t="shared" si="15"/>
        <v>217</v>
      </c>
      <c r="B231" s="17">
        <f t="shared" si="16"/>
        <v>0</v>
      </c>
      <c r="C231" s="17">
        <f t="shared" si="17"/>
        <v>0</v>
      </c>
      <c r="D231" s="17">
        <f t="shared" si="18"/>
        <v>0</v>
      </c>
      <c r="E231" s="17">
        <f t="shared" si="19"/>
        <v>0</v>
      </c>
      <c r="G231" s="21"/>
    </row>
    <row r="232" spans="1:7" ht="12.75">
      <c r="A232" s="21">
        <f t="shared" si="15"/>
        <v>218</v>
      </c>
      <c r="B232" s="17">
        <f t="shared" si="16"/>
        <v>0</v>
      </c>
      <c r="C232" s="17">
        <f t="shared" si="17"/>
        <v>0</v>
      </c>
      <c r="D232" s="17">
        <f t="shared" si="18"/>
        <v>0</v>
      </c>
      <c r="E232" s="17">
        <f t="shared" si="19"/>
        <v>0</v>
      </c>
      <c r="G232" s="21"/>
    </row>
    <row r="233" spans="1:7" ht="12.75">
      <c r="A233" s="21">
        <f t="shared" si="15"/>
        <v>219</v>
      </c>
      <c r="B233" s="17">
        <f t="shared" si="16"/>
        <v>0</v>
      </c>
      <c r="C233" s="17">
        <f t="shared" si="17"/>
        <v>0</v>
      </c>
      <c r="D233" s="17">
        <f t="shared" si="18"/>
        <v>0</v>
      </c>
      <c r="E233" s="17">
        <f t="shared" si="19"/>
        <v>0</v>
      </c>
      <c r="G233" s="21"/>
    </row>
    <row r="234" spans="1:7" ht="12.75">
      <c r="A234" s="21">
        <f t="shared" si="15"/>
        <v>220</v>
      </c>
      <c r="B234" s="17">
        <f t="shared" si="16"/>
        <v>0</v>
      </c>
      <c r="C234" s="17">
        <f t="shared" si="17"/>
        <v>0</v>
      </c>
      <c r="D234" s="17">
        <f t="shared" si="18"/>
        <v>0</v>
      </c>
      <c r="E234" s="17">
        <f t="shared" si="19"/>
        <v>0</v>
      </c>
      <c r="G234" s="21"/>
    </row>
    <row r="235" spans="1:7" ht="12.75">
      <c r="A235" s="21">
        <f t="shared" si="15"/>
        <v>221</v>
      </c>
      <c r="B235" s="17">
        <f t="shared" si="16"/>
        <v>0</v>
      </c>
      <c r="C235" s="17">
        <f t="shared" si="17"/>
        <v>0</v>
      </c>
      <c r="D235" s="17">
        <f t="shared" si="18"/>
        <v>0</v>
      </c>
      <c r="E235" s="17">
        <f t="shared" si="19"/>
        <v>0</v>
      </c>
      <c r="G235" s="21"/>
    </row>
    <row r="236" spans="1:7" ht="12.75">
      <c r="A236" s="21">
        <f t="shared" si="15"/>
        <v>222</v>
      </c>
      <c r="B236" s="17">
        <f t="shared" si="16"/>
        <v>0</v>
      </c>
      <c r="C236" s="17">
        <f t="shared" si="17"/>
        <v>0</v>
      </c>
      <c r="D236" s="17">
        <f t="shared" si="18"/>
        <v>0</v>
      </c>
      <c r="E236" s="17">
        <f t="shared" si="19"/>
        <v>0</v>
      </c>
      <c r="G236" s="21"/>
    </row>
    <row r="237" spans="1:7" ht="12.75">
      <c r="A237" s="21">
        <f t="shared" si="15"/>
        <v>223</v>
      </c>
      <c r="B237" s="17">
        <f t="shared" si="16"/>
        <v>0</v>
      </c>
      <c r="C237" s="17">
        <f t="shared" si="17"/>
        <v>0</v>
      </c>
      <c r="D237" s="17">
        <f t="shared" si="18"/>
        <v>0</v>
      </c>
      <c r="E237" s="17">
        <f t="shared" si="19"/>
        <v>0</v>
      </c>
      <c r="G237" s="21"/>
    </row>
    <row r="238" spans="1:7" ht="12.75">
      <c r="A238" s="21">
        <f t="shared" si="15"/>
        <v>224</v>
      </c>
      <c r="B238" s="17">
        <f t="shared" si="16"/>
        <v>0</v>
      </c>
      <c r="C238" s="17">
        <f t="shared" si="17"/>
        <v>0</v>
      </c>
      <c r="D238" s="17">
        <f t="shared" si="18"/>
        <v>0</v>
      </c>
      <c r="E238" s="17">
        <f t="shared" si="19"/>
        <v>0</v>
      </c>
      <c r="G238" s="21"/>
    </row>
    <row r="239" spans="1:7" ht="12.75">
      <c r="A239" s="21">
        <f t="shared" si="15"/>
        <v>225</v>
      </c>
      <c r="B239" s="17">
        <f t="shared" si="16"/>
        <v>0</v>
      </c>
      <c r="C239" s="17">
        <f t="shared" si="17"/>
        <v>0</v>
      </c>
      <c r="D239" s="17">
        <f t="shared" si="18"/>
        <v>0</v>
      </c>
      <c r="E239" s="17">
        <f t="shared" si="19"/>
        <v>0</v>
      </c>
      <c r="G239" s="21"/>
    </row>
    <row r="240" spans="1:7" ht="12.75">
      <c r="A240" s="21">
        <f t="shared" si="15"/>
        <v>226</v>
      </c>
      <c r="B240" s="17">
        <f t="shared" si="16"/>
        <v>0</v>
      </c>
      <c r="C240" s="17">
        <f t="shared" si="17"/>
        <v>0</v>
      </c>
      <c r="D240" s="17">
        <f t="shared" si="18"/>
        <v>0</v>
      </c>
      <c r="E240" s="17">
        <f t="shared" si="19"/>
        <v>0</v>
      </c>
      <c r="G240" s="21"/>
    </row>
    <row r="241" spans="1:7" ht="12.75">
      <c r="A241" s="21">
        <f t="shared" si="15"/>
        <v>227</v>
      </c>
      <c r="B241" s="17">
        <f t="shared" si="16"/>
        <v>0</v>
      </c>
      <c r="C241" s="17">
        <f t="shared" si="17"/>
        <v>0</v>
      </c>
      <c r="D241" s="17">
        <f t="shared" si="18"/>
        <v>0</v>
      </c>
      <c r="E241" s="17">
        <f t="shared" si="19"/>
        <v>0</v>
      </c>
      <c r="G241" s="21"/>
    </row>
    <row r="242" spans="1:7" ht="12.75">
      <c r="A242" s="21">
        <f t="shared" si="15"/>
        <v>228</v>
      </c>
      <c r="B242" s="17">
        <f t="shared" si="16"/>
        <v>0</v>
      </c>
      <c r="C242" s="17">
        <f t="shared" si="17"/>
        <v>0</v>
      </c>
      <c r="D242" s="17">
        <f t="shared" si="18"/>
        <v>0</v>
      </c>
      <c r="E242" s="17">
        <f t="shared" si="19"/>
        <v>0</v>
      </c>
      <c r="G242" s="21"/>
    </row>
    <row r="243" spans="1:7" ht="12.75">
      <c r="A243" s="21">
        <f t="shared" si="15"/>
        <v>229</v>
      </c>
      <c r="B243" s="17">
        <f t="shared" si="16"/>
        <v>0</v>
      </c>
      <c r="C243" s="17">
        <f t="shared" si="17"/>
        <v>0</v>
      </c>
      <c r="D243" s="17">
        <f t="shared" si="18"/>
        <v>0</v>
      </c>
      <c r="E243" s="17">
        <f t="shared" si="19"/>
        <v>0</v>
      </c>
      <c r="G243" s="21"/>
    </row>
    <row r="244" spans="1:7" ht="12.75">
      <c r="A244" s="21">
        <f t="shared" si="15"/>
        <v>230</v>
      </c>
      <c r="B244" s="17">
        <f t="shared" si="16"/>
        <v>0</v>
      </c>
      <c r="C244" s="17">
        <f t="shared" si="17"/>
        <v>0</v>
      </c>
      <c r="D244" s="17">
        <f t="shared" si="18"/>
        <v>0</v>
      </c>
      <c r="E244" s="17">
        <f t="shared" si="19"/>
        <v>0</v>
      </c>
      <c r="G244" s="21"/>
    </row>
    <row r="245" spans="1:7" ht="12.75">
      <c r="A245" s="21">
        <f t="shared" si="15"/>
        <v>231</v>
      </c>
      <c r="B245" s="17">
        <f t="shared" si="16"/>
        <v>0</v>
      </c>
      <c r="C245" s="17">
        <f t="shared" si="17"/>
        <v>0</v>
      </c>
      <c r="D245" s="17">
        <f t="shared" si="18"/>
        <v>0</v>
      </c>
      <c r="E245" s="17">
        <f t="shared" si="19"/>
        <v>0</v>
      </c>
      <c r="G245" s="21"/>
    </row>
    <row r="246" spans="1:7" ht="12.75">
      <c r="A246" s="21">
        <f t="shared" si="15"/>
        <v>232</v>
      </c>
      <c r="B246" s="17">
        <f t="shared" si="16"/>
        <v>0</v>
      </c>
      <c r="C246" s="17">
        <f t="shared" si="17"/>
        <v>0</v>
      </c>
      <c r="D246" s="17">
        <f t="shared" si="18"/>
        <v>0</v>
      </c>
      <c r="E246" s="17">
        <f t="shared" si="19"/>
        <v>0</v>
      </c>
      <c r="G246" s="21"/>
    </row>
    <row r="247" spans="1:7" ht="12.75">
      <c r="A247" s="21">
        <f t="shared" si="15"/>
        <v>233</v>
      </c>
      <c r="B247" s="17">
        <f t="shared" si="16"/>
        <v>0</v>
      </c>
      <c r="C247" s="17">
        <f t="shared" si="17"/>
        <v>0</v>
      </c>
      <c r="D247" s="17">
        <f t="shared" si="18"/>
        <v>0</v>
      </c>
      <c r="E247" s="17">
        <f t="shared" si="19"/>
        <v>0</v>
      </c>
      <c r="G247" s="21"/>
    </row>
    <row r="248" spans="1:7" ht="12.75">
      <c r="A248" s="21">
        <f t="shared" si="15"/>
        <v>234</v>
      </c>
      <c r="B248" s="17">
        <f t="shared" si="16"/>
        <v>0</v>
      </c>
      <c r="C248" s="17">
        <f t="shared" si="17"/>
        <v>0</v>
      </c>
      <c r="D248" s="17">
        <f t="shared" si="18"/>
        <v>0</v>
      </c>
      <c r="E248" s="17">
        <f t="shared" si="19"/>
        <v>0</v>
      </c>
      <c r="G248" s="21"/>
    </row>
    <row r="249" spans="1:7" ht="12.75">
      <c r="A249" s="21">
        <f t="shared" si="15"/>
        <v>235</v>
      </c>
      <c r="B249" s="17">
        <f t="shared" si="16"/>
        <v>0</v>
      </c>
      <c r="C249" s="17">
        <f t="shared" si="17"/>
        <v>0</v>
      </c>
      <c r="D249" s="17">
        <f t="shared" si="18"/>
        <v>0</v>
      </c>
      <c r="E249" s="17">
        <f t="shared" si="19"/>
        <v>0</v>
      </c>
      <c r="G249" s="21"/>
    </row>
    <row r="250" spans="1:7" ht="12.75">
      <c r="A250" s="21">
        <f t="shared" si="15"/>
        <v>236</v>
      </c>
      <c r="B250" s="17">
        <f t="shared" si="16"/>
        <v>0</v>
      </c>
      <c r="C250" s="17">
        <f t="shared" si="17"/>
        <v>0</v>
      </c>
      <c r="D250" s="17">
        <f t="shared" si="18"/>
        <v>0</v>
      </c>
      <c r="E250" s="17">
        <f t="shared" si="19"/>
        <v>0</v>
      </c>
      <c r="G250" s="21"/>
    </row>
    <row r="251" spans="1:7" ht="12.75">
      <c r="A251" s="21">
        <f t="shared" si="15"/>
        <v>237</v>
      </c>
      <c r="B251" s="17">
        <f t="shared" si="16"/>
        <v>0</v>
      </c>
      <c r="C251" s="17">
        <f t="shared" si="17"/>
        <v>0</v>
      </c>
      <c r="D251" s="17">
        <f t="shared" si="18"/>
        <v>0</v>
      </c>
      <c r="E251" s="17">
        <f t="shared" si="19"/>
        <v>0</v>
      </c>
      <c r="G251" s="21"/>
    </row>
    <row r="252" spans="1:7" ht="12.75">
      <c r="A252" s="21">
        <f t="shared" si="15"/>
        <v>238</v>
      </c>
      <c r="B252" s="17">
        <f t="shared" si="16"/>
        <v>0</v>
      </c>
      <c r="C252" s="17">
        <f t="shared" si="17"/>
        <v>0</v>
      </c>
      <c r="D252" s="17">
        <f t="shared" si="18"/>
        <v>0</v>
      </c>
      <c r="E252" s="17">
        <f t="shared" si="19"/>
        <v>0</v>
      </c>
      <c r="G252" s="21"/>
    </row>
    <row r="253" spans="1:7" ht="12.75">
      <c r="A253" s="21">
        <f t="shared" si="15"/>
        <v>239</v>
      </c>
      <c r="B253" s="17">
        <f t="shared" si="16"/>
        <v>0</v>
      </c>
      <c r="C253" s="17">
        <f t="shared" si="17"/>
        <v>0</v>
      </c>
      <c r="D253" s="17">
        <f t="shared" si="18"/>
        <v>0</v>
      </c>
      <c r="E253" s="17">
        <f t="shared" si="19"/>
        <v>0</v>
      </c>
      <c r="G253" s="21"/>
    </row>
    <row r="254" spans="1:7" ht="12.75">
      <c r="A254" s="21">
        <f t="shared" si="15"/>
        <v>240</v>
      </c>
      <c r="B254" s="17">
        <f t="shared" si="16"/>
        <v>0</v>
      </c>
      <c r="C254" s="17">
        <f t="shared" si="17"/>
        <v>0</v>
      </c>
      <c r="D254" s="17">
        <f t="shared" si="18"/>
        <v>0</v>
      </c>
      <c r="E254" s="17">
        <f t="shared" si="19"/>
        <v>0</v>
      </c>
      <c r="G254" s="21"/>
    </row>
    <row r="255" spans="1:7" ht="12.75">
      <c r="A255" s="21">
        <f t="shared" si="15"/>
        <v>241</v>
      </c>
      <c r="B255" s="17">
        <f t="shared" si="16"/>
        <v>0</v>
      </c>
      <c r="C255" s="17">
        <f t="shared" si="17"/>
        <v>0</v>
      </c>
      <c r="D255" s="17">
        <f t="shared" si="18"/>
        <v>0</v>
      </c>
      <c r="E255" s="17">
        <f t="shared" si="19"/>
        <v>0</v>
      </c>
      <c r="G255" s="21"/>
    </row>
    <row r="256" spans="1:7" ht="12.75">
      <c r="A256" s="21">
        <f t="shared" si="15"/>
        <v>242</v>
      </c>
      <c r="B256" s="17">
        <f t="shared" si="16"/>
        <v>0</v>
      </c>
      <c r="C256" s="17">
        <f t="shared" si="17"/>
        <v>0</v>
      </c>
      <c r="D256" s="17">
        <f t="shared" si="18"/>
        <v>0</v>
      </c>
      <c r="E256" s="17">
        <f t="shared" si="19"/>
        <v>0</v>
      </c>
      <c r="G256" s="21"/>
    </row>
    <row r="257" spans="1:7" ht="12.75">
      <c r="A257" s="21">
        <f t="shared" si="15"/>
        <v>243</v>
      </c>
      <c r="B257" s="17">
        <f t="shared" si="16"/>
        <v>0</v>
      </c>
      <c r="C257" s="17">
        <f t="shared" si="17"/>
        <v>0</v>
      </c>
      <c r="D257" s="17">
        <f t="shared" si="18"/>
        <v>0</v>
      </c>
      <c r="E257" s="17">
        <f t="shared" si="19"/>
        <v>0</v>
      </c>
      <c r="G257" s="21"/>
    </row>
    <row r="258" spans="1:7" ht="12.75">
      <c r="A258" s="21">
        <f t="shared" si="15"/>
        <v>244</v>
      </c>
      <c r="B258" s="17">
        <f t="shared" si="16"/>
        <v>0</v>
      </c>
      <c r="C258" s="17">
        <f t="shared" si="17"/>
        <v>0</v>
      </c>
      <c r="D258" s="17">
        <f t="shared" si="18"/>
        <v>0</v>
      </c>
      <c r="E258" s="17">
        <f t="shared" si="19"/>
        <v>0</v>
      </c>
      <c r="G258" s="21"/>
    </row>
    <row r="259" spans="1:7" ht="12.75">
      <c r="A259" s="21">
        <f t="shared" si="15"/>
        <v>245</v>
      </c>
      <c r="B259" s="17">
        <f t="shared" si="16"/>
        <v>0</v>
      </c>
      <c r="C259" s="17">
        <f t="shared" si="17"/>
        <v>0</v>
      </c>
      <c r="D259" s="17">
        <f t="shared" si="18"/>
        <v>0</v>
      </c>
      <c r="E259" s="17">
        <f t="shared" si="19"/>
        <v>0</v>
      </c>
      <c r="G259" s="21"/>
    </row>
    <row r="260" spans="1:7" ht="12.75">
      <c r="A260" s="21">
        <f t="shared" si="15"/>
        <v>246</v>
      </c>
      <c r="B260" s="17">
        <f t="shared" si="16"/>
        <v>0</v>
      </c>
      <c r="C260" s="17">
        <f t="shared" si="17"/>
        <v>0</v>
      </c>
      <c r="D260" s="17">
        <f t="shared" si="18"/>
        <v>0</v>
      </c>
      <c r="E260" s="17">
        <f t="shared" si="19"/>
        <v>0</v>
      </c>
      <c r="G260" s="21"/>
    </row>
    <row r="261" spans="1:7" ht="12.75">
      <c r="A261" s="21">
        <f t="shared" si="15"/>
        <v>247</v>
      </c>
      <c r="B261" s="17">
        <f t="shared" si="16"/>
        <v>0</v>
      </c>
      <c r="C261" s="17">
        <f t="shared" si="17"/>
        <v>0</v>
      </c>
      <c r="D261" s="17">
        <f t="shared" si="18"/>
        <v>0</v>
      </c>
      <c r="E261" s="17">
        <f t="shared" si="19"/>
        <v>0</v>
      </c>
      <c r="G261" s="21"/>
    </row>
    <row r="262" spans="1:7" ht="12.75">
      <c r="A262" s="21">
        <f t="shared" si="15"/>
        <v>248</v>
      </c>
      <c r="B262" s="17">
        <f t="shared" si="16"/>
        <v>0</v>
      </c>
      <c r="C262" s="17">
        <f t="shared" si="17"/>
        <v>0</v>
      </c>
      <c r="D262" s="17">
        <f t="shared" si="18"/>
        <v>0</v>
      </c>
      <c r="E262" s="17">
        <f t="shared" si="19"/>
        <v>0</v>
      </c>
      <c r="G262" s="21"/>
    </row>
    <row r="263" spans="1:7" ht="12.75">
      <c r="A263" s="21">
        <f t="shared" si="15"/>
        <v>249</v>
      </c>
      <c r="B263" s="17">
        <f t="shared" si="16"/>
        <v>0</v>
      </c>
      <c r="C263" s="17">
        <f t="shared" si="17"/>
        <v>0</v>
      </c>
      <c r="D263" s="17">
        <f t="shared" si="18"/>
        <v>0</v>
      </c>
      <c r="E263" s="17">
        <f t="shared" si="19"/>
        <v>0</v>
      </c>
      <c r="G263" s="21"/>
    </row>
    <row r="264" spans="1:7" ht="12.75">
      <c r="A264" s="21">
        <f t="shared" si="15"/>
        <v>250</v>
      </c>
      <c r="B264" s="17">
        <f t="shared" si="16"/>
        <v>0</v>
      </c>
      <c r="C264" s="17">
        <f t="shared" si="17"/>
        <v>0</v>
      </c>
      <c r="D264" s="17">
        <f t="shared" si="18"/>
        <v>0</v>
      </c>
      <c r="E264" s="17">
        <f t="shared" si="19"/>
        <v>0</v>
      </c>
      <c r="G264" s="21"/>
    </row>
    <row r="265" spans="1:7" ht="12.75">
      <c r="A265" s="21">
        <f t="shared" si="15"/>
        <v>251</v>
      </c>
      <c r="B265" s="17">
        <f t="shared" si="16"/>
        <v>0</v>
      </c>
      <c r="C265" s="17">
        <f t="shared" si="17"/>
        <v>0</v>
      </c>
      <c r="D265" s="17">
        <f t="shared" si="18"/>
        <v>0</v>
      </c>
      <c r="E265" s="17">
        <f t="shared" si="19"/>
        <v>0</v>
      </c>
      <c r="G265" s="21"/>
    </row>
    <row r="266" spans="1:7" ht="12.75">
      <c r="A266" s="21">
        <f t="shared" si="15"/>
        <v>252</v>
      </c>
      <c r="B266" s="17">
        <f t="shared" si="16"/>
        <v>0</v>
      </c>
      <c r="C266" s="17">
        <f t="shared" si="17"/>
        <v>0</v>
      </c>
      <c r="D266" s="17">
        <f t="shared" si="18"/>
        <v>0</v>
      </c>
      <c r="E266" s="17">
        <f t="shared" si="19"/>
        <v>0</v>
      </c>
      <c r="G266" s="21"/>
    </row>
    <row r="267" spans="1:7" ht="12.75">
      <c r="A267" s="21">
        <f t="shared" si="15"/>
        <v>253</v>
      </c>
      <c r="B267" s="17">
        <f t="shared" si="16"/>
        <v>0</v>
      </c>
      <c r="C267" s="17">
        <f t="shared" si="17"/>
        <v>0</v>
      </c>
      <c r="D267" s="17">
        <f t="shared" si="18"/>
        <v>0</v>
      </c>
      <c r="E267" s="17">
        <f t="shared" si="19"/>
        <v>0</v>
      </c>
      <c r="G267" s="21"/>
    </row>
    <row r="268" spans="1:7" ht="12.75">
      <c r="A268" s="21">
        <f t="shared" si="15"/>
        <v>254</v>
      </c>
      <c r="B268" s="17">
        <f t="shared" si="16"/>
        <v>0</v>
      </c>
      <c r="C268" s="17">
        <f t="shared" si="17"/>
        <v>0</v>
      </c>
      <c r="D268" s="17">
        <f t="shared" si="18"/>
        <v>0</v>
      </c>
      <c r="E268" s="17">
        <f t="shared" si="19"/>
        <v>0</v>
      </c>
      <c r="G268" s="21"/>
    </row>
    <row r="269" spans="1:7" ht="12.75">
      <c r="A269" s="21">
        <f t="shared" si="15"/>
        <v>255</v>
      </c>
      <c r="B269" s="17">
        <f t="shared" si="16"/>
        <v>0</v>
      </c>
      <c r="C269" s="17">
        <f t="shared" si="17"/>
        <v>0</v>
      </c>
      <c r="D269" s="17">
        <f t="shared" si="18"/>
        <v>0</v>
      </c>
      <c r="E269" s="17">
        <f t="shared" si="19"/>
        <v>0</v>
      </c>
      <c r="G269" s="21"/>
    </row>
    <row r="270" spans="1:7" ht="12.75">
      <c r="A270" s="21">
        <f t="shared" si="15"/>
        <v>256</v>
      </c>
      <c r="B270" s="17">
        <f t="shared" si="16"/>
        <v>0</v>
      </c>
      <c r="C270" s="17">
        <f t="shared" si="17"/>
        <v>0</v>
      </c>
      <c r="D270" s="17">
        <f t="shared" si="18"/>
        <v>0</v>
      </c>
      <c r="E270" s="17">
        <f t="shared" si="19"/>
        <v>0</v>
      </c>
      <c r="G270" s="21"/>
    </row>
    <row r="271" spans="1:7" ht="12.75">
      <c r="A271" s="21">
        <f aca="true" t="shared" si="20" ref="A271:A334">A270+1</f>
        <v>257</v>
      </c>
      <c r="B271" s="17">
        <f aca="true" t="shared" si="21" ref="B271:B334">IF(E270&lt;1,0,IF(E270&gt;B$8,B$8,(1+D$2)*E270))</f>
        <v>0</v>
      </c>
      <c r="C271" s="17">
        <f aca="true" t="shared" si="22" ref="C271:C334">IF(E270&lt;1,0,ROUND(E270*D$2,2))</f>
        <v>0</v>
      </c>
      <c r="D271" s="17">
        <f aca="true" t="shared" si="23" ref="D271:D334">IF(E270&lt;1,0,B271-C271+G271)</f>
        <v>0</v>
      </c>
      <c r="E271" s="17">
        <f aca="true" t="shared" si="24" ref="E271:E334">IF(E270&lt;1,0,E270-D271)</f>
        <v>0</v>
      </c>
      <c r="G271" s="21"/>
    </row>
    <row r="272" spans="1:7" ht="12.75">
      <c r="A272" s="21">
        <f t="shared" si="20"/>
        <v>258</v>
      </c>
      <c r="B272" s="17">
        <f t="shared" si="21"/>
        <v>0</v>
      </c>
      <c r="C272" s="17">
        <f t="shared" si="22"/>
        <v>0</v>
      </c>
      <c r="D272" s="17">
        <f t="shared" si="23"/>
        <v>0</v>
      </c>
      <c r="E272" s="17">
        <f t="shared" si="24"/>
        <v>0</v>
      </c>
      <c r="G272" s="21"/>
    </row>
    <row r="273" spans="1:7" ht="12.75">
      <c r="A273" s="21">
        <f t="shared" si="20"/>
        <v>259</v>
      </c>
      <c r="B273" s="17">
        <f t="shared" si="21"/>
        <v>0</v>
      </c>
      <c r="C273" s="17">
        <f t="shared" si="22"/>
        <v>0</v>
      </c>
      <c r="D273" s="17">
        <f t="shared" si="23"/>
        <v>0</v>
      </c>
      <c r="E273" s="17">
        <f t="shared" si="24"/>
        <v>0</v>
      </c>
      <c r="G273" s="21"/>
    </row>
    <row r="274" spans="1:7" ht="12.75">
      <c r="A274" s="21">
        <f t="shared" si="20"/>
        <v>260</v>
      </c>
      <c r="B274" s="17">
        <f t="shared" si="21"/>
        <v>0</v>
      </c>
      <c r="C274" s="17">
        <f t="shared" si="22"/>
        <v>0</v>
      </c>
      <c r="D274" s="17">
        <f t="shared" si="23"/>
        <v>0</v>
      </c>
      <c r="E274" s="17">
        <f t="shared" si="24"/>
        <v>0</v>
      </c>
      <c r="G274" s="21"/>
    </row>
    <row r="275" spans="1:7" ht="12.75">
      <c r="A275" s="21">
        <f t="shared" si="20"/>
        <v>261</v>
      </c>
      <c r="B275" s="17">
        <f t="shared" si="21"/>
        <v>0</v>
      </c>
      <c r="C275" s="17">
        <f t="shared" si="22"/>
        <v>0</v>
      </c>
      <c r="D275" s="17">
        <f t="shared" si="23"/>
        <v>0</v>
      </c>
      <c r="E275" s="17">
        <f t="shared" si="24"/>
        <v>0</v>
      </c>
      <c r="G275" s="21"/>
    </row>
    <row r="276" spans="1:7" ht="12.75">
      <c r="A276" s="21">
        <f t="shared" si="20"/>
        <v>262</v>
      </c>
      <c r="B276" s="17">
        <f t="shared" si="21"/>
        <v>0</v>
      </c>
      <c r="C276" s="17">
        <f t="shared" si="22"/>
        <v>0</v>
      </c>
      <c r="D276" s="17">
        <f t="shared" si="23"/>
        <v>0</v>
      </c>
      <c r="E276" s="17">
        <f t="shared" si="24"/>
        <v>0</v>
      </c>
      <c r="G276" s="21"/>
    </row>
    <row r="277" spans="1:7" ht="12.75">
      <c r="A277" s="21">
        <f t="shared" si="20"/>
        <v>263</v>
      </c>
      <c r="B277" s="17">
        <f t="shared" si="21"/>
        <v>0</v>
      </c>
      <c r="C277" s="17">
        <f t="shared" si="22"/>
        <v>0</v>
      </c>
      <c r="D277" s="17">
        <f t="shared" si="23"/>
        <v>0</v>
      </c>
      <c r="E277" s="17">
        <f t="shared" si="24"/>
        <v>0</v>
      </c>
      <c r="G277" s="21"/>
    </row>
    <row r="278" spans="1:7" ht="12.75">
      <c r="A278" s="21">
        <f t="shared" si="20"/>
        <v>264</v>
      </c>
      <c r="B278" s="17">
        <f t="shared" si="21"/>
        <v>0</v>
      </c>
      <c r="C278" s="17">
        <f t="shared" si="22"/>
        <v>0</v>
      </c>
      <c r="D278" s="17">
        <f t="shared" si="23"/>
        <v>0</v>
      </c>
      <c r="E278" s="17">
        <f t="shared" si="24"/>
        <v>0</v>
      </c>
      <c r="G278" s="21"/>
    </row>
    <row r="279" spans="1:7" ht="12.75">
      <c r="A279" s="21">
        <f t="shared" si="20"/>
        <v>265</v>
      </c>
      <c r="B279" s="17">
        <f t="shared" si="21"/>
        <v>0</v>
      </c>
      <c r="C279" s="17">
        <f t="shared" si="22"/>
        <v>0</v>
      </c>
      <c r="D279" s="17">
        <f t="shared" si="23"/>
        <v>0</v>
      </c>
      <c r="E279" s="17">
        <f t="shared" si="24"/>
        <v>0</v>
      </c>
      <c r="G279" s="21"/>
    </row>
    <row r="280" spans="1:7" ht="12.75">
      <c r="A280" s="21">
        <f t="shared" si="20"/>
        <v>266</v>
      </c>
      <c r="B280" s="17">
        <f t="shared" si="21"/>
        <v>0</v>
      </c>
      <c r="C280" s="17">
        <f t="shared" si="22"/>
        <v>0</v>
      </c>
      <c r="D280" s="17">
        <f t="shared" si="23"/>
        <v>0</v>
      </c>
      <c r="E280" s="17">
        <f t="shared" si="24"/>
        <v>0</v>
      </c>
      <c r="G280" s="21"/>
    </row>
    <row r="281" spans="1:7" ht="12.75">
      <c r="A281" s="21">
        <f t="shared" si="20"/>
        <v>267</v>
      </c>
      <c r="B281" s="17">
        <f t="shared" si="21"/>
        <v>0</v>
      </c>
      <c r="C281" s="17">
        <f t="shared" si="22"/>
        <v>0</v>
      </c>
      <c r="D281" s="17">
        <f t="shared" si="23"/>
        <v>0</v>
      </c>
      <c r="E281" s="17">
        <f t="shared" si="24"/>
        <v>0</v>
      </c>
      <c r="G281" s="21"/>
    </row>
    <row r="282" spans="1:7" ht="12.75">
      <c r="A282" s="21">
        <f t="shared" si="20"/>
        <v>268</v>
      </c>
      <c r="B282" s="17">
        <f t="shared" si="21"/>
        <v>0</v>
      </c>
      <c r="C282" s="17">
        <f t="shared" si="22"/>
        <v>0</v>
      </c>
      <c r="D282" s="17">
        <f t="shared" si="23"/>
        <v>0</v>
      </c>
      <c r="E282" s="17">
        <f t="shared" si="24"/>
        <v>0</v>
      </c>
      <c r="G282" s="21"/>
    </row>
    <row r="283" spans="1:7" ht="12.75">
      <c r="A283" s="21">
        <f t="shared" si="20"/>
        <v>269</v>
      </c>
      <c r="B283" s="17">
        <f t="shared" si="21"/>
        <v>0</v>
      </c>
      <c r="C283" s="17">
        <f t="shared" si="22"/>
        <v>0</v>
      </c>
      <c r="D283" s="17">
        <f t="shared" si="23"/>
        <v>0</v>
      </c>
      <c r="E283" s="17">
        <f t="shared" si="24"/>
        <v>0</v>
      </c>
      <c r="G283" s="21"/>
    </row>
    <row r="284" spans="1:7" ht="12.75">
      <c r="A284" s="21">
        <f t="shared" si="20"/>
        <v>270</v>
      </c>
      <c r="B284" s="17">
        <f t="shared" si="21"/>
        <v>0</v>
      </c>
      <c r="C284" s="17">
        <f t="shared" si="22"/>
        <v>0</v>
      </c>
      <c r="D284" s="17">
        <f t="shared" si="23"/>
        <v>0</v>
      </c>
      <c r="E284" s="17">
        <f t="shared" si="24"/>
        <v>0</v>
      </c>
      <c r="G284" s="21"/>
    </row>
    <row r="285" spans="1:7" ht="12.75">
      <c r="A285" s="21">
        <f t="shared" si="20"/>
        <v>271</v>
      </c>
      <c r="B285" s="17">
        <f t="shared" si="21"/>
        <v>0</v>
      </c>
      <c r="C285" s="17">
        <f t="shared" si="22"/>
        <v>0</v>
      </c>
      <c r="D285" s="17">
        <f t="shared" si="23"/>
        <v>0</v>
      </c>
      <c r="E285" s="17">
        <f t="shared" si="24"/>
        <v>0</v>
      </c>
      <c r="G285" s="21"/>
    </row>
    <row r="286" spans="1:7" ht="12.75">
      <c r="A286" s="21">
        <f t="shared" si="20"/>
        <v>272</v>
      </c>
      <c r="B286" s="17">
        <f t="shared" si="21"/>
        <v>0</v>
      </c>
      <c r="C286" s="17">
        <f t="shared" si="22"/>
        <v>0</v>
      </c>
      <c r="D286" s="17">
        <f t="shared" si="23"/>
        <v>0</v>
      </c>
      <c r="E286" s="17">
        <f t="shared" si="24"/>
        <v>0</v>
      </c>
      <c r="G286" s="21"/>
    </row>
    <row r="287" spans="1:7" ht="12.75">
      <c r="A287" s="21">
        <f t="shared" si="20"/>
        <v>273</v>
      </c>
      <c r="B287" s="17">
        <f t="shared" si="21"/>
        <v>0</v>
      </c>
      <c r="C287" s="17">
        <f t="shared" si="22"/>
        <v>0</v>
      </c>
      <c r="D287" s="17">
        <f t="shared" si="23"/>
        <v>0</v>
      </c>
      <c r="E287" s="17">
        <f t="shared" si="24"/>
        <v>0</v>
      </c>
      <c r="G287" s="21"/>
    </row>
    <row r="288" spans="1:7" ht="12.75">
      <c r="A288" s="21">
        <f t="shared" si="20"/>
        <v>274</v>
      </c>
      <c r="B288" s="17">
        <f t="shared" si="21"/>
        <v>0</v>
      </c>
      <c r="C288" s="17">
        <f t="shared" si="22"/>
        <v>0</v>
      </c>
      <c r="D288" s="17">
        <f t="shared" si="23"/>
        <v>0</v>
      </c>
      <c r="E288" s="17">
        <f t="shared" si="24"/>
        <v>0</v>
      </c>
      <c r="G288" s="21"/>
    </row>
    <row r="289" spans="1:7" ht="12.75">
      <c r="A289" s="21">
        <f t="shared" si="20"/>
        <v>275</v>
      </c>
      <c r="B289" s="17">
        <f t="shared" si="21"/>
        <v>0</v>
      </c>
      <c r="C289" s="17">
        <f t="shared" si="22"/>
        <v>0</v>
      </c>
      <c r="D289" s="17">
        <f t="shared" si="23"/>
        <v>0</v>
      </c>
      <c r="E289" s="17">
        <f t="shared" si="24"/>
        <v>0</v>
      </c>
      <c r="G289" s="21"/>
    </row>
    <row r="290" spans="1:7" ht="12.75">
      <c r="A290" s="21">
        <f t="shared" si="20"/>
        <v>276</v>
      </c>
      <c r="B290" s="17">
        <f t="shared" si="21"/>
        <v>0</v>
      </c>
      <c r="C290" s="17">
        <f t="shared" si="22"/>
        <v>0</v>
      </c>
      <c r="D290" s="17">
        <f t="shared" si="23"/>
        <v>0</v>
      </c>
      <c r="E290" s="17">
        <f t="shared" si="24"/>
        <v>0</v>
      </c>
      <c r="G290" s="21"/>
    </row>
    <row r="291" spans="1:7" ht="12.75">
      <c r="A291" s="21">
        <f t="shared" si="20"/>
        <v>277</v>
      </c>
      <c r="B291" s="17">
        <f t="shared" si="21"/>
        <v>0</v>
      </c>
      <c r="C291" s="17">
        <f t="shared" si="22"/>
        <v>0</v>
      </c>
      <c r="D291" s="17">
        <f t="shared" si="23"/>
        <v>0</v>
      </c>
      <c r="E291" s="17">
        <f t="shared" si="24"/>
        <v>0</v>
      </c>
      <c r="G291" s="21"/>
    </row>
    <row r="292" spans="1:7" ht="12.75">
      <c r="A292" s="21">
        <f t="shared" si="20"/>
        <v>278</v>
      </c>
      <c r="B292" s="17">
        <f t="shared" si="21"/>
        <v>0</v>
      </c>
      <c r="C292" s="17">
        <f t="shared" si="22"/>
        <v>0</v>
      </c>
      <c r="D292" s="17">
        <f t="shared" si="23"/>
        <v>0</v>
      </c>
      <c r="E292" s="17">
        <f t="shared" si="24"/>
        <v>0</v>
      </c>
      <c r="G292" s="21"/>
    </row>
    <row r="293" spans="1:7" ht="12.75">
      <c r="A293" s="21">
        <f t="shared" si="20"/>
        <v>279</v>
      </c>
      <c r="B293" s="17">
        <f t="shared" si="21"/>
        <v>0</v>
      </c>
      <c r="C293" s="17">
        <f t="shared" si="22"/>
        <v>0</v>
      </c>
      <c r="D293" s="17">
        <f t="shared" si="23"/>
        <v>0</v>
      </c>
      <c r="E293" s="17">
        <f t="shared" si="24"/>
        <v>0</v>
      </c>
      <c r="G293" s="21"/>
    </row>
    <row r="294" spans="1:7" ht="12.75">
      <c r="A294" s="21">
        <f t="shared" si="20"/>
        <v>280</v>
      </c>
      <c r="B294" s="17">
        <f t="shared" si="21"/>
        <v>0</v>
      </c>
      <c r="C294" s="17">
        <f t="shared" si="22"/>
        <v>0</v>
      </c>
      <c r="D294" s="17">
        <f t="shared" si="23"/>
        <v>0</v>
      </c>
      <c r="E294" s="17">
        <f t="shared" si="24"/>
        <v>0</v>
      </c>
      <c r="G294" s="21"/>
    </row>
    <row r="295" spans="1:7" ht="12.75">
      <c r="A295" s="21">
        <f t="shared" si="20"/>
        <v>281</v>
      </c>
      <c r="B295" s="17">
        <f t="shared" si="21"/>
        <v>0</v>
      </c>
      <c r="C295" s="17">
        <f t="shared" si="22"/>
        <v>0</v>
      </c>
      <c r="D295" s="17">
        <f t="shared" si="23"/>
        <v>0</v>
      </c>
      <c r="E295" s="17">
        <f t="shared" si="24"/>
        <v>0</v>
      </c>
      <c r="G295" s="21"/>
    </row>
    <row r="296" spans="1:7" ht="12.75">
      <c r="A296" s="21">
        <f t="shared" si="20"/>
        <v>282</v>
      </c>
      <c r="B296" s="17">
        <f t="shared" si="21"/>
        <v>0</v>
      </c>
      <c r="C296" s="17">
        <f t="shared" si="22"/>
        <v>0</v>
      </c>
      <c r="D296" s="17">
        <f t="shared" si="23"/>
        <v>0</v>
      </c>
      <c r="E296" s="17">
        <f t="shared" si="24"/>
        <v>0</v>
      </c>
      <c r="G296" s="21"/>
    </row>
    <row r="297" spans="1:7" ht="12.75">
      <c r="A297" s="21">
        <f t="shared" si="20"/>
        <v>283</v>
      </c>
      <c r="B297" s="17">
        <f t="shared" si="21"/>
        <v>0</v>
      </c>
      <c r="C297" s="17">
        <f t="shared" si="22"/>
        <v>0</v>
      </c>
      <c r="D297" s="17">
        <f t="shared" si="23"/>
        <v>0</v>
      </c>
      <c r="E297" s="17">
        <f t="shared" si="24"/>
        <v>0</v>
      </c>
      <c r="G297" s="21"/>
    </row>
    <row r="298" spans="1:7" ht="12.75">
      <c r="A298" s="21">
        <f t="shared" si="20"/>
        <v>284</v>
      </c>
      <c r="B298" s="17">
        <f t="shared" si="21"/>
        <v>0</v>
      </c>
      <c r="C298" s="17">
        <f t="shared" si="22"/>
        <v>0</v>
      </c>
      <c r="D298" s="17">
        <f t="shared" si="23"/>
        <v>0</v>
      </c>
      <c r="E298" s="17">
        <f t="shared" si="24"/>
        <v>0</v>
      </c>
      <c r="G298" s="21"/>
    </row>
    <row r="299" spans="1:7" ht="12.75">
      <c r="A299" s="21">
        <f t="shared" si="20"/>
        <v>285</v>
      </c>
      <c r="B299" s="17">
        <f t="shared" si="21"/>
        <v>0</v>
      </c>
      <c r="C299" s="17">
        <f t="shared" si="22"/>
        <v>0</v>
      </c>
      <c r="D299" s="17">
        <f t="shared" si="23"/>
        <v>0</v>
      </c>
      <c r="E299" s="17">
        <f t="shared" si="24"/>
        <v>0</v>
      </c>
      <c r="G299" s="21"/>
    </row>
    <row r="300" spans="1:7" ht="12.75">
      <c r="A300" s="21">
        <f t="shared" si="20"/>
        <v>286</v>
      </c>
      <c r="B300" s="17">
        <f t="shared" si="21"/>
        <v>0</v>
      </c>
      <c r="C300" s="17">
        <f t="shared" si="22"/>
        <v>0</v>
      </c>
      <c r="D300" s="17">
        <f t="shared" si="23"/>
        <v>0</v>
      </c>
      <c r="E300" s="17">
        <f t="shared" si="24"/>
        <v>0</v>
      </c>
      <c r="G300" s="21"/>
    </row>
    <row r="301" spans="1:7" ht="12.75">
      <c r="A301" s="21">
        <f t="shared" si="20"/>
        <v>287</v>
      </c>
      <c r="B301" s="17">
        <f t="shared" si="21"/>
        <v>0</v>
      </c>
      <c r="C301" s="17">
        <f t="shared" si="22"/>
        <v>0</v>
      </c>
      <c r="D301" s="17">
        <f t="shared" si="23"/>
        <v>0</v>
      </c>
      <c r="E301" s="17">
        <f t="shared" si="24"/>
        <v>0</v>
      </c>
      <c r="G301" s="21"/>
    </row>
    <row r="302" spans="1:7" ht="12.75">
      <c r="A302" s="21">
        <f t="shared" si="20"/>
        <v>288</v>
      </c>
      <c r="B302" s="17">
        <f t="shared" si="21"/>
        <v>0</v>
      </c>
      <c r="C302" s="17">
        <f t="shared" si="22"/>
        <v>0</v>
      </c>
      <c r="D302" s="17">
        <f t="shared" si="23"/>
        <v>0</v>
      </c>
      <c r="E302" s="17">
        <f t="shared" si="24"/>
        <v>0</v>
      </c>
      <c r="G302" s="21"/>
    </row>
    <row r="303" spans="1:7" ht="12.75">
      <c r="A303" s="21">
        <f t="shared" si="20"/>
        <v>289</v>
      </c>
      <c r="B303" s="17">
        <f t="shared" si="21"/>
        <v>0</v>
      </c>
      <c r="C303" s="17">
        <f t="shared" si="22"/>
        <v>0</v>
      </c>
      <c r="D303" s="17">
        <f t="shared" si="23"/>
        <v>0</v>
      </c>
      <c r="E303" s="17">
        <f t="shared" si="24"/>
        <v>0</v>
      </c>
      <c r="G303" s="21"/>
    </row>
    <row r="304" spans="1:7" ht="12.75">
      <c r="A304" s="21">
        <f t="shared" si="20"/>
        <v>290</v>
      </c>
      <c r="B304" s="17">
        <f t="shared" si="21"/>
        <v>0</v>
      </c>
      <c r="C304" s="17">
        <f t="shared" si="22"/>
        <v>0</v>
      </c>
      <c r="D304" s="17">
        <f t="shared" si="23"/>
        <v>0</v>
      </c>
      <c r="E304" s="17">
        <f t="shared" si="24"/>
        <v>0</v>
      </c>
      <c r="G304" s="21"/>
    </row>
    <row r="305" spans="1:7" ht="12.75">
      <c r="A305" s="21">
        <f t="shared" si="20"/>
        <v>291</v>
      </c>
      <c r="B305" s="17">
        <f t="shared" si="21"/>
        <v>0</v>
      </c>
      <c r="C305" s="17">
        <f t="shared" si="22"/>
        <v>0</v>
      </c>
      <c r="D305" s="17">
        <f t="shared" si="23"/>
        <v>0</v>
      </c>
      <c r="E305" s="17">
        <f t="shared" si="24"/>
        <v>0</v>
      </c>
      <c r="G305" s="21"/>
    </row>
    <row r="306" spans="1:7" ht="12.75">
      <c r="A306" s="21">
        <f t="shared" si="20"/>
        <v>292</v>
      </c>
      <c r="B306" s="17">
        <f t="shared" si="21"/>
        <v>0</v>
      </c>
      <c r="C306" s="17">
        <f t="shared" si="22"/>
        <v>0</v>
      </c>
      <c r="D306" s="17">
        <f t="shared" si="23"/>
        <v>0</v>
      </c>
      <c r="E306" s="17">
        <f t="shared" si="24"/>
        <v>0</v>
      </c>
      <c r="G306" s="21"/>
    </row>
    <row r="307" spans="1:7" ht="12.75">
      <c r="A307" s="21">
        <f t="shared" si="20"/>
        <v>293</v>
      </c>
      <c r="B307" s="17">
        <f t="shared" si="21"/>
        <v>0</v>
      </c>
      <c r="C307" s="17">
        <f t="shared" si="22"/>
        <v>0</v>
      </c>
      <c r="D307" s="17">
        <f t="shared" si="23"/>
        <v>0</v>
      </c>
      <c r="E307" s="17">
        <f t="shared" si="24"/>
        <v>0</v>
      </c>
      <c r="G307" s="21"/>
    </row>
    <row r="308" spans="1:7" ht="12.75">
      <c r="A308" s="21">
        <f t="shared" si="20"/>
        <v>294</v>
      </c>
      <c r="B308" s="17">
        <f t="shared" si="21"/>
        <v>0</v>
      </c>
      <c r="C308" s="17">
        <f t="shared" si="22"/>
        <v>0</v>
      </c>
      <c r="D308" s="17">
        <f t="shared" si="23"/>
        <v>0</v>
      </c>
      <c r="E308" s="17">
        <f t="shared" si="24"/>
        <v>0</v>
      </c>
      <c r="G308" s="21"/>
    </row>
    <row r="309" spans="1:7" ht="12.75">
      <c r="A309" s="21">
        <f t="shared" si="20"/>
        <v>295</v>
      </c>
      <c r="B309" s="17">
        <f t="shared" si="21"/>
        <v>0</v>
      </c>
      <c r="C309" s="17">
        <f t="shared" si="22"/>
        <v>0</v>
      </c>
      <c r="D309" s="17">
        <f t="shared" si="23"/>
        <v>0</v>
      </c>
      <c r="E309" s="17">
        <f t="shared" si="24"/>
        <v>0</v>
      </c>
      <c r="G309" s="21"/>
    </row>
    <row r="310" spans="1:7" ht="12.75">
      <c r="A310" s="21">
        <f t="shared" si="20"/>
        <v>296</v>
      </c>
      <c r="B310" s="17">
        <f t="shared" si="21"/>
        <v>0</v>
      </c>
      <c r="C310" s="17">
        <f t="shared" si="22"/>
        <v>0</v>
      </c>
      <c r="D310" s="17">
        <f t="shared" si="23"/>
        <v>0</v>
      </c>
      <c r="E310" s="17">
        <f t="shared" si="24"/>
        <v>0</v>
      </c>
      <c r="G310" s="21"/>
    </row>
    <row r="311" spans="1:7" ht="12.75">
      <c r="A311" s="21">
        <f t="shared" si="20"/>
        <v>297</v>
      </c>
      <c r="B311" s="17">
        <f t="shared" si="21"/>
        <v>0</v>
      </c>
      <c r="C311" s="17">
        <f t="shared" si="22"/>
        <v>0</v>
      </c>
      <c r="D311" s="17">
        <f t="shared" si="23"/>
        <v>0</v>
      </c>
      <c r="E311" s="17">
        <f t="shared" si="24"/>
        <v>0</v>
      </c>
      <c r="G311" s="21"/>
    </row>
    <row r="312" spans="1:7" ht="12.75">
      <c r="A312" s="21">
        <f t="shared" si="20"/>
        <v>298</v>
      </c>
      <c r="B312" s="17">
        <f t="shared" si="21"/>
        <v>0</v>
      </c>
      <c r="C312" s="17">
        <f t="shared" si="22"/>
        <v>0</v>
      </c>
      <c r="D312" s="17">
        <f t="shared" si="23"/>
        <v>0</v>
      </c>
      <c r="E312" s="17">
        <f t="shared" si="24"/>
        <v>0</v>
      </c>
      <c r="G312" s="21"/>
    </row>
    <row r="313" spans="1:7" ht="12.75">
      <c r="A313" s="21">
        <f t="shared" si="20"/>
        <v>299</v>
      </c>
      <c r="B313" s="17">
        <f t="shared" si="21"/>
        <v>0</v>
      </c>
      <c r="C313" s="17">
        <f t="shared" si="22"/>
        <v>0</v>
      </c>
      <c r="D313" s="17">
        <f t="shared" si="23"/>
        <v>0</v>
      </c>
      <c r="E313" s="17">
        <f t="shared" si="24"/>
        <v>0</v>
      </c>
      <c r="G313" s="21"/>
    </row>
    <row r="314" spans="1:7" ht="12.75">
      <c r="A314" s="21">
        <f t="shared" si="20"/>
        <v>300</v>
      </c>
      <c r="B314" s="17">
        <f t="shared" si="21"/>
        <v>0</v>
      </c>
      <c r="C314" s="17">
        <f t="shared" si="22"/>
        <v>0</v>
      </c>
      <c r="D314" s="17">
        <f t="shared" si="23"/>
        <v>0</v>
      </c>
      <c r="E314" s="17">
        <f t="shared" si="24"/>
        <v>0</v>
      </c>
      <c r="G314" s="21"/>
    </row>
    <row r="315" spans="1:7" ht="12.75">
      <c r="A315" s="21">
        <f t="shared" si="20"/>
        <v>301</v>
      </c>
      <c r="B315" s="17">
        <f t="shared" si="21"/>
        <v>0</v>
      </c>
      <c r="C315" s="17">
        <f t="shared" si="22"/>
        <v>0</v>
      </c>
      <c r="D315" s="17">
        <f t="shared" si="23"/>
        <v>0</v>
      </c>
      <c r="E315" s="17">
        <f t="shared" si="24"/>
        <v>0</v>
      </c>
      <c r="G315" s="21"/>
    </row>
    <row r="316" spans="1:7" ht="12.75">
      <c r="A316" s="21">
        <f t="shared" si="20"/>
        <v>302</v>
      </c>
      <c r="B316" s="17">
        <f t="shared" si="21"/>
        <v>0</v>
      </c>
      <c r="C316" s="17">
        <f t="shared" si="22"/>
        <v>0</v>
      </c>
      <c r="D316" s="17">
        <f t="shared" si="23"/>
        <v>0</v>
      </c>
      <c r="E316" s="17">
        <f t="shared" si="24"/>
        <v>0</v>
      </c>
      <c r="G316" s="21"/>
    </row>
    <row r="317" spans="1:7" ht="12.75">
      <c r="A317" s="21">
        <f t="shared" si="20"/>
        <v>303</v>
      </c>
      <c r="B317" s="17">
        <f t="shared" si="21"/>
        <v>0</v>
      </c>
      <c r="C317" s="17">
        <f t="shared" si="22"/>
        <v>0</v>
      </c>
      <c r="D317" s="17">
        <f t="shared" si="23"/>
        <v>0</v>
      </c>
      <c r="E317" s="17">
        <f t="shared" si="24"/>
        <v>0</v>
      </c>
      <c r="G317" s="21"/>
    </row>
    <row r="318" spans="1:7" ht="12.75">
      <c r="A318" s="21">
        <f t="shared" si="20"/>
        <v>304</v>
      </c>
      <c r="B318" s="17">
        <f t="shared" si="21"/>
        <v>0</v>
      </c>
      <c r="C318" s="17">
        <f t="shared" si="22"/>
        <v>0</v>
      </c>
      <c r="D318" s="17">
        <f t="shared" si="23"/>
        <v>0</v>
      </c>
      <c r="E318" s="17">
        <f t="shared" si="24"/>
        <v>0</v>
      </c>
      <c r="G318" s="21"/>
    </row>
    <row r="319" spans="1:7" ht="12.75">
      <c r="A319" s="21">
        <f t="shared" si="20"/>
        <v>305</v>
      </c>
      <c r="B319" s="17">
        <f t="shared" si="21"/>
        <v>0</v>
      </c>
      <c r="C319" s="17">
        <f t="shared" si="22"/>
        <v>0</v>
      </c>
      <c r="D319" s="17">
        <f t="shared" si="23"/>
        <v>0</v>
      </c>
      <c r="E319" s="17">
        <f t="shared" si="24"/>
        <v>0</v>
      </c>
      <c r="G319" s="21"/>
    </row>
    <row r="320" spans="1:7" ht="12.75">
      <c r="A320" s="21">
        <f t="shared" si="20"/>
        <v>306</v>
      </c>
      <c r="B320" s="17">
        <f t="shared" si="21"/>
        <v>0</v>
      </c>
      <c r="C320" s="17">
        <f t="shared" si="22"/>
        <v>0</v>
      </c>
      <c r="D320" s="17">
        <f t="shared" si="23"/>
        <v>0</v>
      </c>
      <c r="E320" s="17">
        <f t="shared" si="24"/>
        <v>0</v>
      </c>
      <c r="G320" s="21"/>
    </row>
    <row r="321" spans="1:7" ht="12.75">
      <c r="A321" s="21">
        <f t="shared" si="20"/>
        <v>307</v>
      </c>
      <c r="B321" s="17">
        <f t="shared" si="21"/>
        <v>0</v>
      </c>
      <c r="C321" s="17">
        <f t="shared" si="22"/>
        <v>0</v>
      </c>
      <c r="D321" s="17">
        <f t="shared" si="23"/>
        <v>0</v>
      </c>
      <c r="E321" s="17">
        <f t="shared" si="24"/>
        <v>0</v>
      </c>
      <c r="G321" s="21"/>
    </row>
    <row r="322" spans="1:7" ht="12.75">
      <c r="A322" s="21">
        <f t="shared" si="20"/>
        <v>308</v>
      </c>
      <c r="B322" s="17">
        <f t="shared" si="21"/>
        <v>0</v>
      </c>
      <c r="C322" s="17">
        <f t="shared" si="22"/>
        <v>0</v>
      </c>
      <c r="D322" s="17">
        <f t="shared" si="23"/>
        <v>0</v>
      </c>
      <c r="E322" s="17">
        <f t="shared" si="24"/>
        <v>0</v>
      </c>
      <c r="G322" s="21"/>
    </row>
    <row r="323" spans="1:7" ht="12.75">
      <c r="A323" s="21">
        <f t="shared" si="20"/>
        <v>309</v>
      </c>
      <c r="B323" s="17">
        <f t="shared" si="21"/>
        <v>0</v>
      </c>
      <c r="C323" s="17">
        <f t="shared" si="22"/>
        <v>0</v>
      </c>
      <c r="D323" s="17">
        <f t="shared" si="23"/>
        <v>0</v>
      </c>
      <c r="E323" s="17">
        <f t="shared" si="24"/>
        <v>0</v>
      </c>
      <c r="G323" s="21"/>
    </row>
    <row r="324" spans="1:7" ht="12.75">
      <c r="A324" s="21">
        <f t="shared" si="20"/>
        <v>310</v>
      </c>
      <c r="B324" s="17">
        <f t="shared" si="21"/>
        <v>0</v>
      </c>
      <c r="C324" s="17">
        <f t="shared" si="22"/>
        <v>0</v>
      </c>
      <c r="D324" s="17">
        <f t="shared" si="23"/>
        <v>0</v>
      </c>
      <c r="E324" s="17">
        <f t="shared" si="24"/>
        <v>0</v>
      </c>
      <c r="G324" s="21"/>
    </row>
    <row r="325" spans="1:7" ht="12.75">
      <c r="A325" s="21">
        <f t="shared" si="20"/>
        <v>311</v>
      </c>
      <c r="B325" s="17">
        <f t="shared" si="21"/>
        <v>0</v>
      </c>
      <c r="C325" s="17">
        <f t="shared" si="22"/>
        <v>0</v>
      </c>
      <c r="D325" s="17">
        <f t="shared" si="23"/>
        <v>0</v>
      </c>
      <c r="E325" s="17">
        <f t="shared" si="24"/>
        <v>0</v>
      </c>
      <c r="G325" s="21"/>
    </row>
    <row r="326" spans="1:7" ht="12.75">
      <c r="A326" s="21">
        <f t="shared" si="20"/>
        <v>312</v>
      </c>
      <c r="B326" s="17">
        <f t="shared" si="21"/>
        <v>0</v>
      </c>
      <c r="C326" s="17">
        <f t="shared" si="22"/>
        <v>0</v>
      </c>
      <c r="D326" s="17">
        <f t="shared" si="23"/>
        <v>0</v>
      </c>
      <c r="E326" s="17">
        <f t="shared" si="24"/>
        <v>0</v>
      </c>
      <c r="G326" s="21"/>
    </row>
    <row r="327" spans="1:7" ht="12.75">
      <c r="A327" s="21">
        <f t="shared" si="20"/>
        <v>313</v>
      </c>
      <c r="B327" s="17">
        <f t="shared" si="21"/>
        <v>0</v>
      </c>
      <c r="C327" s="17">
        <f t="shared" si="22"/>
        <v>0</v>
      </c>
      <c r="D327" s="17">
        <f t="shared" si="23"/>
        <v>0</v>
      </c>
      <c r="E327" s="17">
        <f t="shared" si="24"/>
        <v>0</v>
      </c>
      <c r="G327" s="21"/>
    </row>
    <row r="328" spans="1:7" ht="12.75">
      <c r="A328" s="21">
        <f t="shared" si="20"/>
        <v>314</v>
      </c>
      <c r="B328" s="17">
        <f t="shared" si="21"/>
        <v>0</v>
      </c>
      <c r="C328" s="17">
        <f t="shared" si="22"/>
        <v>0</v>
      </c>
      <c r="D328" s="17">
        <f t="shared" si="23"/>
        <v>0</v>
      </c>
      <c r="E328" s="17">
        <f t="shared" si="24"/>
        <v>0</v>
      </c>
      <c r="G328" s="21"/>
    </row>
    <row r="329" spans="1:7" ht="12.75">
      <c r="A329" s="21">
        <f t="shared" si="20"/>
        <v>315</v>
      </c>
      <c r="B329" s="17">
        <f t="shared" si="21"/>
        <v>0</v>
      </c>
      <c r="C329" s="17">
        <f t="shared" si="22"/>
        <v>0</v>
      </c>
      <c r="D329" s="17">
        <f t="shared" si="23"/>
        <v>0</v>
      </c>
      <c r="E329" s="17">
        <f t="shared" si="24"/>
        <v>0</v>
      </c>
      <c r="G329" s="21"/>
    </row>
    <row r="330" spans="1:7" ht="12.75">
      <c r="A330" s="21">
        <f t="shared" si="20"/>
        <v>316</v>
      </c>
      <c r="B330" s="17">
        <f t="shared" si="21"/>
        <v>0</v>
      </c>
      <c r="C330" s="17">
        <f t="shared" si="22"/>
        <v>0</v>
      </c>
      <c r="D330" s="17">
        <f t="shared" si="23"/>
        <v>0</v>
      </c>
      <c r="E330" s="17">
        <f t="shared" si="24"/>
        <v>0</v>
      </c>
      <c r="G330" s="21"/>
    </row>
    <row r="331" spans="1:7" ht="12.75">
      <c r="A331" s="21">
        <f t="shared" si="20"/>
        <v>317</v>
      </c>
      <c r="B331" s="17">
        <f t="shared" si="21"/>
        <v>0</v>
      </c>
      <c r="C331" s="17">
        <f t="shared" si="22"/>
        <v>0</v>
      </c>
      <c r="D331" s="17">
        <f t="shared" si="23"/>
        <v>0</v>
      </c>
      <c r="E331" s="17">
        <f t="shared" si="24"/>
        <v>0</v>
      </c>
      <c r="G331" s="21"/>
    </row>
    <row r="332" spans="1:7" ht="12.75">
      <c r="A332" s="21">
        <f t="shared" si="20"/>
        <v>318</v>
      </c>
      <c r="B332" s="17">
        <f t="shared" si="21"/>
        <v>0</v>
      </c>
      <c r="C332" s="17">
        <f t="shared" si="22"/>
        <v>0</v>
      </c>
      <c r="D332" s="17">
        <f t="shared" si="23"/>
        <v>0</v>
      </c>
      <c r="E332" s="17">
        <f t="shared" si="24"/>
        <v>0</v>
      </c>
      <c r="G332" s="21"/>
    </row>
    <row r="333" spans="1:7" ht="12.75">
      <c r="A333" s="21">
        <f t="shared" si="20"/>
        <v>319</v>
      </c>
      <c r="B333" s="17">
        <f t="shared" si="21"/>
        <v>0</v>
      </c>
      <c r="C333" s="17">
        <f t="shared" si="22"/>
        <v>0</v>
      </c>
      <c r="D333" s="17">
        <f t="shared" si="23"/>
        <v>0</v>
      </c>
      <c r="E333" s="17">
        <f t="shared" si="24"/>
        <v>0</v>
      </c>
      <c r="G333" s="21"/>
    </row>
    <row r="334" spans="1:7" ht="12.75">
      <c r="A334" s="21">
        <f t="shared" si="20"/>
        <v>320</v>
      </c>
      <c r="B334" s="17">
        <f t="shared" si="21"/>
        <v>0</v>
      </c>
      <c r="C334" s="17">
        <f t="shared" si="22"/>
        <v>0</v>
      </c>
      <c r="D334" s="17">
        <f t="shared" si="23"/>
        <v>0</v>
      </c>
      <c r="E334" s="17">
        <f t="shared" si="24"/>
        <v>0</v>
      </c>
      <c r="G334" s="21"/>
    </row>
    <row r="335" spans="1:7" ht="12.75">
      <c r="A335" s="21">
        <f aca="true" t="shared" si="25" ref="A335:A374">A334+1</f>
        <v>321</v>
      </c>
      <c r="B335" s="17">
        <f aca="true" t="shared" si="26" ref="B335:B374">IF(E334&lt;1,0,IF(E334&gt;B$8,B$8,(1+D$2)*E334))</f>
        <v>0</v>
      </c>
      <c r="C335" s="17">
        <f aca="true" t="shared" si="27" ref="C335:C374">IF(E334&lt;1,0,ROUND(E334*D$2,2))</f>
        <v>0</v>
      </c>
      <c r="D335" s="17">
        <f aca="true" t="shared" si="28" ref="D335:D374">IF(E334&lt;1,0,B335-C335+G335)</f>
        <v>0</v>
      </c>
      <c r="E335" s="17">
        <f aca="true" t="shared" si="29" ref="E335:E374">IF(E334&lt;1,0,E334-D335)</f>
        <v>0</v>
      </c>
      <c r="G335" s="21"/>
    </row>
    <row r="336" spans="1:7" ht="12.75">
      <c r="A336" s="21">
        <f t="shared" si="25"/>
        <v>322</v>
      </c>
      <c r="B336" s="17">
        <f t="shared" si="26"/>
        <v>0</v>
      </c>
      <c r="C336" s="17">
        <f t="shared" si="27"/>
        <v>0</v>
      </c>
      <c r="D336" s="17">
        <f t="shared" si="28"/>
        <v>0</v>
      </c>
      <c r="E336" s="17">
        <f t="shared" si="29"/>
        <v>0</v>
      </c>
      <c r="G336" s="21"/>
    </row>
    <row r="337" spans="1:7" ht="12.75">
      <c r="A337" s="21">
        <f t="shared" si="25"/>
        <v>323</v>
      </c>
      <c r="B337" s="17">
        <f t="shared" si="26"/>
        <v>0</v>
      </c>
      <c r="C337" s="17">
        <f t="shared" si="27"/>
        <v>0</v>
      </c>
      <c r="D337" s="17">
        <f t="shared" si="28"/>
        <v>0</v>
      </c>
      <c r="E337" s="17">
        <f t="shared" si="29"/>
        <v>0</v>
      </c>
      <c r="G337" s="21"/>
    </row>
    <row r="338" spans="1:7" ht="12.75">
      <c r="A338" s="21">
        <f t="shared" si="25"/>
        <v>324</v>
      </c>
      <c r="B338" s="17">
        <f t="shared" si="26"/>
        <v>0</v>
      </c>
      <c r="C338" s="17">
        <f t="shared" si="27"/>
        <v>0</v>
      </c>
      <c r="D338" s="17">
        <f t="shared" si="28"/>
        <v>0</v>
      </c>
      <c r="E338" s="17">
        <f t="shared" si="29"/>
        <v>0</v>
      </c>
      <c r="G338" s="21"/>
    </row>
    <row r="339" spans="1:7" ht="12.75">
      <c r="A339" s="21">
        <f t="shared" si="25"/>
        <v>325</v>
      </c>
      <c r="B339" s="17">
        <f t="shared" si="26"/>
        <v>0</v>
      </c>
      <c r="C339" s="17">
        <f t="shared" si="27"/>
        <v>0</v>
      </c>
      <c r="D339" s="17">
        <f t="shared" si="28"/>
        <v>0</v>
      </c>
      <c r="E339" s="17">
        <f t="shared" si="29"/>
        <v>0</v>
      </c>
      <c r="G339" s="21"/>
    </row>
    <row r="340" spans="1:7" ht="12.75">
      <c r="A340" s="21">
        <f t="shared" si="25"/>
        <v>326</v>
      </c>
      <c r="B340" s="17">
        <f t="shared" si="26"/>
        <v>0</v>
      </c>
      <c r="C340" s="17">
        <f t="shared" si="27"/>
        <v>0</v>
      </c>
      <c r="D340" s="17">
        <f t="shared" si="28"/>
        <v>0</v>
      </c>
      <c r="E340" s="17">
        <f t="shared" si="29"/>
        <v>0</v>
      </c>
      <c r="G340" s="21"/>
    </row>
    <row r="341" spans="1:7" ht="12.75">
      <c r="A341" s="21">
        <f t="shared" si="25"/>
        <v>327</v>
      </c>
      <c r="B341" s="17">
        <f t="shared" si="26"/>
        <v>0</v>
      </c>
      <c r="C341" s="17">
        <f t="shared" si="27"/>
        <v>0</v>
      </c>
      <c r="D341" s="17">
        <f t="shared" si="28"/>
        <v>0</v>
      </c>
      <c r="E341" s="17">
        <f t="shared" si="29"/>
        <v>0</v>
      </c>
      <c r="G341" s="21"/>
    </row>
    <row r="342" spans="1:7" ht="12.75">
      <c r="A342" s="21">
        <f t="shared" si="25"/>
        <v>328</v>
      </c>
      <c r="B342" s="17">
        <f t="shared" si="26"/>
        <v>0</v>
      </c>
      <c r="C342" s="17">
        <f t="shared" si="27"/>
        <v>0</v>
      </c>
      <c r="D342" s="17">
        <f t="shared" si="28"/>
        <v>0</v>
      </c>
      <c r="E342" s="17">
        <f t="shared" si="29"/>
        <v>0</v>
      </c>
      <c r="G342" s="21"/>
    </row>
    <row r="343" spans="1:7" ht="12.75">
      <c r="A343" s="21">
        <f t="shared" si="25"/>
        <v>329</v>
      </c>
      <c r="B343" s="17">
        <f t="shared" si="26"/>
        <v>0</v>
      </c>
      <c r="C343" s="17">
        <f t="shared" si="27"/>
        <v>0</v>
      </c>
      <c r="D343" s="17">
        <f t="shared" si="28"/>
        <v>0</v>
      </c>
      <c r="E343" s="17">
        <f t="shared" si="29"/>
        <v>0</v>
      </c>
      <c r="G343" s="21"/>
    </row>
    <row r="344" spans="1:7" ht="12.75">
      <c r="A344" s="21">
        <f t="shared" si="25"/>
        <v>330</v>
      </c>
      <c r="B344" s="17">
        <f t="shared" si="26"/>
        <v>0</v>
      </c>
      <c r="C344" s="17">
        <f t="shared" si="27"/>
        <v>0</v>
      </c>
      <c r="D344" s="17">
        <f t="shared" si="28"/>
        <v>0</v>
      </c>
      <c r="E344" s="17">
        <f t="shared" si="29"/>
        <v>0</v>
      </c>
      <c r="G344" s="21"/>
    </row>
    <row r="345" spans="1:7" ht="12.75">
      <c r="A345" s="21">
        <f t="shared" si="25"/>
        <v>331</v>
      </c>
      <c r="B345" s="17">
        <f t="shared" si="26"/>
        <v>0</v>
      </c>
      <c r="C345" s="17">
        <f t="shared" si="27"/>
        <v>0</v>
      </c>
      <c r="D345" s="17">
        <f t="shared" si="28"/>
        <v>0</v>
      </c>
      <c r="E345" s="17">
        <f t="shared" si="29"/>
        <v>0</v>
      </c>
      <c r="G345" s="21"/>
    </row>
    <row r="346" spans="1:7" ht="12.75">
      <c r="A346" s="21">
        <f t="shared" si="25"/>
        <v>332</v>
      </c>
      <c r="B346" s="17">
        <f t="shared" si="26"/>
        <v>0</v>
      </c>
      <c r="C346" s="17">
        <f t="shared" si="27"/>
        <v>0</v>
      </c>
      <c r="D346" s="17">
        <f t="shared" si="28"/>
        <v>0</v>
      </c>
      <c r="E346" s="17">
        <f t="shared" si="29"/>
        <v>0</v>
      </c>
      <c r="G346" s="21"/>
    </row>
    <row r="347" spans="1:7" ht="12.75">
      <c r="A347" s="21">
        <f t="shared" si="25"/>
        <v>333</v>
      </c>
      <c r="B347" s="17">
        <f t="shared" si="26"/>
        <v>0</v>
      </c>
      <c r="C347" s="17">
        <f t="shared" si="27"/>
        <v>0</v>
      </c>
      <c r="D347" s="17">
        <f t="shared" si="28"/>
        <v>0</v>
      </c>
      <c r="E347" s="17">
        <f t="shared" si="29"/>
        <v>0</v>
      </c>
      <c r="G347" s="21"/>
    </row>
    <row r="348" spans="1:7" ht="12.75">
      <c r="A348" s="21">
        <f t="shared" si="25"/>
        <v>334</v>
      </c>
      <c r="B348" s="17">
        <f t="shared" si="26"/>
        <v>0</v>
      </c>
      <c r="C348" s="17">
        <f t="shared" si="27"/>
        <v>0</v>
      </c>
      <c r="D348" s="17">
        <f t="shared" si="28"/>
        <v>0</v>
      </c>
      <c r="E348" s="17">
        <f t="shared" si="29"/>
        <v>0</v>
      </c>
      <c r="G348" s="21"/>
    </row>
    <row r="349" spans="1:7" ht="12.75">
      <c r="A349" s="21">
        <f t="shared" si="25"/>
        <v>335</v>
      </c>
      <c r="B349" s="17">
        <f t="shared" si="26"/>
        <v>0</v>
      </c>
      <c r="C349" s="17">
        <f t="shared" si="27"/>
        <v>0</v>
      </c>
      <c r="D349" s="17">
        <f t="shared" si="28"/>
        <v>0</v>
      </c>
      <c r="E349" s="17">
        <f t="shared" si="29"/>
        <v>0</v>
      </c>
      <c r="G349" s="21"/>
    </row>
    <row r="350" spans="1:7" ht="12.75">
      <c r="A350" s="21">
        <f t="shared" si="25"/>
        <v>336</v>
      </c>
      <c r="B350" s="17">
        <f t="shared" si="26"/>
        <v>0</v>
      </c>
      <c r="C350" s="17">
        <f t="shared" si="27"/>
        <v>0</v>
      </c>
      <c r="D350" s="17">
        <f t="shared" si="28"/>
        <v>0</v>
      </c>
      <c r="E350" s="17">
        <f t="shared" si="29"/>
        <v>0</v>
      </c>
      <c r="G350" s="21"/>
    </row>
    <row r="351" spans="1:7" ht="12.75">
      <c r="A351" s="21">
        <f t="shared" si="25"/>
        <v>337</v>
      </c>
      <c r="B351" s="17">
        <f t="shared" si="26"/>
        <v>0</v>
      </c>
      <c r="C351" s="17">
        <f t="shared" si="27"/>
        <v>0</v>
      </c>
      <c r="D351" s="17">
        <f t="shared" si="28"/>
        <v>0</v>
      </c>
      <c r="E351" s="17">
        <f t="shared" si="29"/>
        <v>0</v>
      </c>
      <c r="G351" s="21"/>
    </row>
    <row r="352" spans="1:7" ht="12.75">
      <c r="A352" s="21">
        <f t="shared" si="25"/>
        <v>338</v>
      </c>
      <c r="B352" s="17">
        <f t="shared" si="26"/>
        <v>0</v>
      </c>
      <c r="C352" s="17">
        <f t="shared" si="27"/>
        <v>0</v>
      </c>
      <c r="D352" s="17">
        <f t="shared" si="28"/>
        <v>0</v>
      </c>
      <c r="E352" s="17">
        <f t="shared" si="29"/>
        <v>0</v>
      </c>
      <c r="G352" s="21"/>
    </row>
    <row r="353" spans="1:7" ht="12.75">
      <c r="A353" s="21">
        <f t="shared" si="25"/>
        <v>339</v>
      </c>
      <c r="B353" s="17">
        <f t="shared" si="26"/>
        <v>0</v>
      </c>
      <c r="C353" s="17">
        <f t="shared" si="27"/>
        <v>0</v>
      </c>
      <c r="D353" s="17">
        <f t="shared" si="28"/>
        <v>0</v>
      </c>
      <c r="E353" s="17">
        <f t="shared" si="29"/>
        <v>0</v>
      </c>
      <c r="G353" s="21"/>
    </row>
    <row r="354" spans="1:7" ht="12.75">
      <c r="A354" s="21">
        <f t="shared" si="25"/>
        <v>340</v>
      </c>
      <c r="B354" s="17">
        <f t="shared" si="26"/>
        <v>0</v>
      </c>
      <c r="C354" s="17">
        <f t="shared" si="27"/>
        <v>0</v>
      </c>
      <c r="D354" s="17">
        <f t="shared" si="28"/>
        <v>0</v>
      </c>
      <c r="E354" s="17">
        <f t="shared" si="29"/>
        <v>0</v>
      </c>
      <c r="G354" s="21"/>
    </row>
    <row r="355" spans="1:7" ht="12.75">
      <c r="A355" s="21">
        <f t="shared" si="25"/>
        <v>341</v>
      </c>
      <c r="B355" s="17">
        <f t="shared" si="26"/>
        <v>0</v>
      </c>
      <c r="C355" s="17">
        <f t="shared" si="27"/>
        <v>0</v>
      </c>
      <c r="D355" s="17">
        <f t="shared" si="28"/>
        <v>0</v>
      </c>
      <c r="E355" s="17">
        <f t="shared" si="29"/>
        <v>0</v>
      </c>
      <c r="G355" s="21"/>
    </row>
    <row r="356" spans="1:7" ht="12.75">
      <c r="A356" s="21">
        <f t="shared" si="25"/>
        <v>342</v>
      </c>
      <c r="B356" s="17">
        <f t="shared" si="26"/>
        <v>0</v>
      </c>
      <c r="C356" s="17">
        <f t="shared" si="27"/>
        <v>0</v>
      </c>
      <c r="D356" s="17">
        <f t="shared" si="28"/>
        <v>0</v>
      </c>
      <c r="E356" s="17">
        <f t="shared" si="29"/>
        <v>0</v>
      </c>
      <c r="G356" s="21"/>
    </row>
    <row r="357" spans="1:7" ht="12.75">
      <c r="A357" s="21">
        <f t="shared" si="25"/>
        <v>343</v>
      </c>
      <c r="B357" s="17">
        <f t="shared" si="26"/>
        <v>0</v>
      </c>
      <c r="C357" s="17">
        <f t="shared" si="27"/>
        <v>0</v>
      </c>
      <c r="D357" s="17">
        <f t="shared" si="28"/>
        <v>0</v>
      </c>
      <c r="E357" s="17">
        <f t="shared" si="29"/>
        <v>0</v>
      </c>
      <c r="G357" s="21"/>
    </row>
    <row r="358" spans="1:7" ht="12.75">
      <c r="A358" s="21">
        <f t="shared" si="25"/>
        <v>344</v>
      </c>
      <c r="B358" s="17">
        <f t="shared" si="26"/>
        <v>0</v>
      </c>
      <c r="C358" s="17">
        <f t="shared" si="27"/>
        <v>0</v>
      </c>
      <c r="D358" s="17">
        <f t="shared" si="28"/>
        <v>0</v>
      </c>
      <c r="E358" s="17">
        <f t="shared" si="29"/>
        <v>0</v>
      </c>
      <c r="G358" s="21"/>
    </row>
    <row r="359" spans="1:7" ht="12.75">
      <c r="A359" s="21">
        <f t="shared" si="25"/>
        <v>345</v>
      </c>
      <c r="B359" s="17">
        <f t="shared" si="26"/>
        <v>0</v>
      </c>
      <c r="C359" s="17">
        <f t="shared" si="27"/>
        <v>0</v>
      </c>
      <c r="D359" s="17">
        <f t="shared" si="28"/>
        <v>0</v>
      </c>
      <c r="E359" s="17">
        <f t="shared" si="29"/>
        <v>0</v>
      </c>
      <c r="G359" s="21"/>
    </row>
    <row r="360" spans="1:7" ht="12.75">
      <c r="A360" s="21">
        <f t="shared" si="25"/>
        <v>346</v>
      </c>
      <c r="B360" s="17">
        <f t="shared" si="26"/>
        <v>0</v>
      </c>
      <c r="C360" s="17">
        <f t="shared" si="27"/>
        <v>0</v>
      </c>
      <c r="D360" s="17">
        <f t="shared" si="28"/>
        <v>0</v>
      </c>
      <c r="E360" s="17">
        <f t="shared" si="29"/>
        <v>0</v>
      </c>
      <c r="G360" s="21"/>
    </row>
    <row r="361" spans="1:7" ht="12.75">
      <c r="A361" s="21">
        <f t="shared" si="25"/>
        <v>347</v>
      </c>
      <c r="B361" s="17">
        <f t="shared" si="26"/>
        <v>0</v>
      </c>
      <c r="C361" s="17">
        <f t="shared" si="27"/>
        <v>0</v>
      </c>
      <c r="D361" s="17">
        <f t="shared" si="28"/>
        <v>0</v>
      </c>
      <c r="E361" s="17">
        <f t="shared" si="29"/>
        <v>0</v>
      </c>
      <c r="G361" s="21"/>
    </row>
    <row r="362" spans="1:7" ht="12.75">
      <c r="A362" s="21">
        <f t="shared" si="25"/>
        <v>348</v>
      </c>
      <c r="B362" s="17">
        <f t="shared" si="26"/>
        <v>0</v>
      </c>
      <c r="C362" s="17">
        <f t="shared" si="27"/>
        <v>0</v>
      </c>
      <c r="D362" s="17">
        <f t="shared" si="28"/>
        <v>0</v>
      </c>
      <c r="E362" s="17">
        <f t="shared" si="29"/>
        <v>0</v>
      </c>
      <c r="G362" s="21"/>
    </row>
    <row r="363" spans="1:7" ht="12.75">
      <c r="A363" s="21">
        <f t="shared" si="25"/>
        <v>349</v>
      </c>
      <c r="B363" s="17">
        <f t="shared" si="26"/>
        <v>0</v>
      </c>
      <c r="C363" s="17">
        <f t="shared" si="27"/>
        <v>0</v>
      </c>
      <c r="D363" s="17">
        <f t="shared" si="28"/>
        <v>0</v>
      </c>
      <c r="E363" s="17">
        <f t="shared" si="29"/>
        <v>0</v>
      </c>
      <c r="G363" s="21"/>
    </row>
    <row r="364" spans="1:7" ht="12.75">
      <c r="A364" s="21">
        <f t="shared" si="25"/>
        <v>350</v>
      </c>
      <c r="B364" s="17">
        <f t="shared" si="26"/>
        <v>0</v>
      </c>
      <c r="C364" s="17">
        <f t="shared" si="27"/>
        <v>0</v>
      </c>
      <c r="D364" s="17">
        <f t="shared" si="28"/>
        <v>0</v>
      </c>
      <c r="E364" s="17">
        <f t="shared" si="29"/>
        <v>0</v>
      </c>
      <c r="G364" s="21"/>
    </row>
    <row r="365" spans="1:7" ht="12.75">
      <c r="A365" s="21">
        <f t="shared" si="25"/>
        <v>351</v>
      </c>
      <c r="B365" s="17">
        <f t="shared" si="26"/>
        <v>0</v>
      </c>
      <c r="C365" s="17">
        <f t="shared" si="27"/>
        <v>0</v>
      </c>
      <c r="D365" s="17">
        <f t="shared" si="28"/>
        <v>0</v>
      </c>
      <c r="E365" s="17">
        <f t="shared" si="29"/>
        <v>0</v>
      </c>
      <c r="G365" s="21"/>
    </row>
    <row r="366" spans="1:7" ht="12.75">
      <c r="A366" s="21">
        <f t="shared" si="25"/>
        <v>352</v>
      </c>
      <c r="B366" s="17">
        <f t="shared" si="26"/>
        <v>0</v>
      </c>
      <c r="C366" s="17">
        <f t="shared" si="27"/>
        <v>0</v>
      </c>
      <c r="D366" s="17">
        <f t="shared" si="28"/>
        <v>0</v>
      </c>
      <c r="E366" s="17">
        <f t="shared" si="29"/>
        <v>0</v>
      </c>
      <c r="G366" s="21"/>
    </row>
    <row r="367" spans="1:7" ht="12.75">
      <c r="A367" s="21">
        <f t="shared" si="25"/>
        <v>353</v>
      </c>
      <c r="B367" s="17">
        <f t="shared" si="26"/>
        <v>0</v>
      </c>
      <c r="C367" s="17">
        <f t="shared" si="27"/>
        <v>0</v>
      </c>
      <c r="D367" s="17">
        <f t="shared" si="28"/>
        <v>0</v>
      </c>
      <c r="E367" s="17">
        <f t="shared" si="29"/>
        <v>0</v>
      </c>
      <c r="G367" s="21"/>
    </row>
    <row r="368" spans="1:7" ht="12.75">
      <c r="A368" s="21">
        <f t="shared" si="25"/>
        <v>354</v>
      </c>
      <c r="B368" s="17">
        <f t="shared" si="26"/>
        <v>0</v>
      </c>
      <c r="C368" s="17">
        <f t="shared" si="27"/>
        <v>0</v>
      </c>
      <c r="D368" s="17">
        <f t="shared" si="28"/>
        <v>0</v>
      </c>
      <c r="E368" s="17">
        <f t="shared" si="29"/>
        <v>0</v>
      </c>
      <c r="G368" s="21"/>
    </row>
    <row r="369" spans="1:7" ht="12.75">
      <c r="A369" s="21">
        <f t="shared" si="25"/>
        <v>355</v>
      </c>
      <c r="B369" s="17">
        <f t="shared" si="26"/>
        <v>0</v>
      </c>
      <c r="C369" s="17">
        <f t="shared" si="27"/>
        <v>0</v>
      </c>
      <c r="D369" s="17">
        <f t="shared" si="28"/>
        <v>0</v>
      </c>
      <c r="E369" s="17">
        <f t="shared" si="29"/>
        <v>0</v>
      </c>
      <c r="G369" s="21"/>
    </row>
    <row r="370" spans="1:7" ht="12.75">
      <c r="A370" s="21">
        <f t="shared" si="25"/>
        <v>356</v>
      </c>
      <c r="B370" s="17">
        <f t="shared" si="26"/>
        <v>0</v>
      </c>
      <c r="C370" s="17">
        <f t="shared" si="27"/>
        <v>0</v>
      </c>
      <c r="D370" s="17">
        <f t="shared" si="28"/>
        <v>0</v>
      </c>
      <c r="E370" s="17">
        <f t="shared" si="29"/>
        <v>0</v>
      </c>
      <c r="G370" s="21"/>
    </row>
    <row r="371" spans="1:7" ht="12.75">
      <c r="A371" s="21">
        <f t="shared" si="25"/>
        <v>357</v>
      </c>
      <c r="B371" s="17">
        <f t="shared" si="26"/>
        <v>0</v>
      </c>
      <c r="C371" s="17">
        <f t="shared" si="27"/>
        <v>0</v>
      </c>
      <c r="D371" s="17">
        <f t="shared" si="28"/>
        <v>0</v>
      </c>
      <c r="E371" s="17">
        <f t="shared" si="29"/>
        <v>0</v>
      </c>
      <c r="G371" s="21"/>
    </row>
    <row r="372" spans="1:7" ht="12.75">
      <c r="A372" s="21">
        <f t="shared" si="25"/>
        <v>358</v>
      </c>
      <c r="B372" s="17">
        <f t="shared" si="26"/>
        <v>0</v>
      </c>
      <c r="C372" s="17">
        <f t="shared" si="27"/>
        <v>0</v>
      </c>
      <c r="D372" s="17">
        <f t="shared" si="28"/>
        <v>0</v>
      </c>
      <c r="E372" s="17">
        <f t="shared" si="29"/>
        <v>0</v>
      </c>
      <c r="G372" s="21"/>
    </row>
    <row r="373" spans="1:7" ht="12.75">
      <c r="A373" s="21">
        <f t="shared" si="25"/>
        <v>359</v>
      </c>
      <c r="B373" s="17">
        <f t="shared" si="26"/>
        <v>0</v>
      </c>
      <c r="C373" s="17">
        <f t="shared" si="27"/>
        <v>0</v>
      </c>
      <c r="D373" s="17">
        <f t="shared" si="28"/>
        <v>0</v>
      </c>
      <c r="E373" s="17">
        <f t="shared" si="29"/>
        <v>0</v>
      </c>
      <c r="G373" s="21"/>
    </row>
    <row r="374" spans="1:7" ht="12.75">
      <c r="A374" s="21">
        <f t="shared" si="25"/>
        <v>360</v>
      </c>
      <c r="B374" s="17">
        <f t="shared" si="26"/>
        <v>0</v>
      </c>
      <c r="C374" s="17">
        <f t="shared" si="27"/>
        <v>0</v>
      </c>
      <c r="D374" s="17">
        <f t="shared" si="28"/>
        <v>0</v>
      </c>
      <c r="E374" s="17">
        <f t="shared" si="29"/>
        <v>0</v>
      </c>
      <c r="G374" s="21"/>
    </row>
  </sheetData>
  <sheetProtection/>
  <printOptions/>
  <pageMargins left="0.75" right="0.75" top="1" bottom="1" header="0.5" footer="0.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sheetPr>
    <tabColor them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Debby Gross</dc:creator>
  <cp:keywords/>
  <dc:description/>
  <cp:lastModifiedBy>mgirvin</cp:lastModifiedBy>
  <dcterms:created xsi:type="dcterms:W3CDTF">2005-09-11T01:54:03Z</dcterms:created>
  <dcterms:modified xsi:type="dcterms:W3CDTF">2008-05-11T19:13:03Z</dcterms:modified>
  <cp:category/>
  <cp:version/>
  <cp:contentType/>
  <cp:contentStatus/>
</cp:coreProperties>
</file>