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P284-300" sheetId="1" r:id="rId1"/>
    <sheet name="P300-301" sheetId="2" r:id="rId2"/>
    <sheet name="P349-351" sheetId="3" r:id="rId3"/>
    <sheet name="P302-316(1)" sheetId="4" r:id="rId4"/>
    <sheet name="P302-316(2)" sheetId="5" r:id="rId5"/>
    <sheet name="P302-316(3)" sheetId="6" r:id="rId6"/>
    <sheet name="P302-316(4)" sheetId="7" r:id="rId7"/>
    <sheet name="P317-318(1)" sheetId="8" r:id="rId8"/>
    <sheet name="P317-318(2)" sheetId="9" r:id="rId9"/>
    <sheet name="P317-318(3)" sheetId="10" r:id="rId10"/>
    <sheet name="P317-318(4)" sheetId="11" r:id="rId11"/>
    <sheet name="P317-318(5)" sheetId="12" r:id="rId12"/>
    <sheet name="P351-353(1)" sheetId="13" r:id="rId13"/>
    <sheet name="P351-353(2)" sheetId="14" r:id="rId14"/>
    <sheet name="P351-353(3)" sheetId="15" r:id="rId15"/>
    <sheet name="P351-353(4)" sheetId="16" r:id="rId16"/>
  </sheets>
  <definedNames>
    <definedName name="Disc">'P317-318(4)'!$A$2:$A$5</definedName>
    <definedName name="Discounts">'P302-316(3)'!$A$2:$A$5</definedName>
    <definedName name="Flights">'P351-353(2)'!$A$2:$D$82</definedName>
    <definedName name="Handle">'P317-318(3)'!$B$2:$G$3</definedName>
    <definedName name="items">'P302-316(1)'!$A$2:$A$16</definedName>
    <definedName name="Items2">'P317-318(1)'!$A$5:$A$20</definedName>
    <definedName name="Penalty">'P349-351'!$H$3:$I$8</definedName>
    <definedName name="Prices">'P317-318(1)'!$A$5:$C$20</definedName>
    <definedName name="Pricing">'P302-316(1)'!$A$2:$C$16</definedName>
    <definedName name="Schedule1">'P302-316(4)'!$C$4:$F$8</definedName>
    <definedName name="Schedule1.1">'P317-318(5)'!$B$3:$E$7</definedName>
    <definedName name="Schedule2">'P302-316(4)'!$C$13:$F$17</definedName>
    <definedName name="Schedule3">'P302-316(4)'!$C$22:$F$26</definedName>
    <definedName name="Schedule3.1">'P317-318(5)'!$B$19:$E$23</definedName>
    <definedName name="Shipping">#REF!</definedName>
    <definedName name="Total_Order">'P317-318(4)'!$B$2:$B$5</definedName>
    <definedName name="Totals">'P302-316(3)'!$B$2:$B$5</definedName>
    <definedName name="UnitPricing">'P302-316(1)'!#REF!</definedName>
  </definedNames>
  <calcPr fullCalcOnLoad="1"/>
</workbook>
</file>

<file path=xl/comments5.xml><?xml version="1.0" encoding="utf-8"?>
<comments xmlns="http://schemas.openxmlformats.org/spreadsheetml/2006/main">
  <authors>
    <author>Mike Gel</author>
  </authors>
  <commentList>
    <comment ref="E15" authorId="0">
      <text>
        <r>
          <rPr>
            <b/>
            <sz val="8"/>
            <rFont val="Tahoma"/>
            <family val="0"/>
          </rPr>
          <t>=MAX((INDEX((Schedule1,Schedule2,Schedule3),C3,C4,C5)*C2),F15)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<sst xmlns="http://schemas.openxmlformats.org/spreadsheetml/2006/main" count="446" uniqueCount="179">
  <si>
    <t>Pricing Information for Tennis Balls</t>
  </si>
  <si>
    <t>TheZone Equipment Division</t>
  </si>
  <si>
    <t>Unit Pricing 
Tennis Balls</t>
  </si>
  <si>
    <t>Shipping Costs</t>
  </si>
  <si>
    <t>Qty</t>
  </si>
  <si>
    <t>$/each</t>
  </si>
  <si>
    <t>Method</t>
  </si>
  <si>
    <t>Shipping Discount</t>
  </si>
  <si>
    <t>Truck</t>
  </si>
  <si>
    <t>Total Price:</t>
  </si>
  <si>
    <t>Rail</t>
  </si>
  <si>
    <t>Shipping Discount 1</t>
  </si>
  <si>
    <t>Ship</t>
  </si>
  <si>
    <t>Shipping Discount 2</t>
  </si>
  <si>
    <t>Customer</t>
  </si>
  <si>
    <t>Order #</t>
  </si>
  <si>
    <t>Cust ID</t>
  </si>
  <si>
    <t>Shipping</t>
  </si>
  <si>
    <t>Quantity</t>
  </si>
  <si>
    <t>Unit 
Price</t>
  </si>
  <si>
    <t>Total Price</t>
  </si>
  <si>
    <t>Unit Shipping</t>
  </si>
  <si>
    <t>Total Shipping</t>
  </si>
  <si>
    <t>Grand Total</t>
  </si>
  <si>
    <t>A0243</t>
  </si>
  <si>
    <t>MH394</t>
  </si>
  <si>
    <t>R903</t>
  </si>
  <si>
    <t>X271</t>
  </si>
  <si>
    <t>N271</t>
  </si>
  <si>
    <t>CD031</t>
  </si>
  <si>
    <t>Assumptions</t>
  </si>
  <si>
    <t>Shipping Discount Option to go with:</t>
  </si>
  <si>
    <t>Pricing Information for Golf Balls</t>
  </si>
  <si>
    <t>NP339</t>
  </si>
  <si>
    <t>AX843</t>
  </si>
  <si>
    <t>BR423</t>
  </si>
  <si>
    <t>PK880</t>
  </si>
  <si>
    <t>EQ737</t>
  </si>
  <si>
    <t>Item#</t>
  </si>
  <si>
    <t>Description</t>
  </si>
  <si>
    <t>Price/item</t>
  </si>
  <si>
    <t>FlexPro Backpack - One Size</t>
  </si>
  <si>
    <t>Alpha Stringing Machine</t>
  </si>
  <si>
    <t>Grommet Set</t>
  </si>
  <si>
    <t>ExoRacket Graphite - Oversize</t>
  </si>
  <si>
    <t>ExoRacket Graphite - Mid+, Plus Length</t>
  </si>
  <si>
    <t>ExoRacket Graphite - Mid+, Regular Length</t>
  </si>
  <si>
    <t>ExoRacket Graphite - Junior Size</t>
  </si>
  <si>
    <t>FlexPro Racket - Junior Pro</t>
  </si>
  <si>
    <t>FlexPro Racket - Standard</t>
  </si>
  <si>
    <t>FlexPro Racket - Oversize</t>
  </si>
  <si>
    <t>Racket Bag - One Size</t>
  </si>
  <si>
    <t>Touring Bag - One Size</t>
  </si>
  <si>
    <t>String Pack - Synthetic</t>
  </si>
  <si>
    <t>String Pack - Gut</t>
  </si>
  <si>
    <t>String Reel - Gut Bulk</t>
  </si>
  <si>
    <t>Tennis Products Order Form</t>
  </si>
  <si>
    <t>Shipping weight</t>
  </si>
  <si>
    <t xml:space="preserve">Region number </t>
  </si>
  <si>
    <t>Shipping method</t>
  </si>
  <si>
    <t>Customer type</t>
  </si>
  <si>
    <t>Total</t>
  </si>
  <si>
    <t>Total Order</t>
  </si>
  <si>
    <t>Discount</t>
  </si>
  <si>
    <t xml:space="preserve">                            </t>
  </si>
  <si>
    <t>Total Order Value</t>
  </si>
  <si>
    <t>Less than $5000, no discount</t>
  </si>
  <si>
    <t>At least $5000 but less than $10,000, $150 discount</t>
  </si>
  <si>
    <t>At least $10,000 but less than $25,000, $400 discount</t>
  </si>
  <si>
    <t>$25,000 or more, $1000 discount</t>
  </si>
  <si>
    <t xml:space="preserve">Shipping Method - Standard  </t>
  </si>
  <si>
    <t>Region</t>
  </si>
  <si>
    <t>NA</t>
  </si>
  <si>
    <t xml:space="preserve">Shipping Method - Preferred </t>
  </si>
  <si>
    <t xml:space="preserve">Shipping Method - Most Preferred </t>
  </si>
  <si>
    <t>Customer Type 1</t>
  </si>
  <si>
    <t>Customer Type 2</t>
  </si>
  <si>
    <t>Customer Type 3</t>
  </si>
  <si>
    <t>Green is price per pound</t>
  </si>
  <si>
    <t>Flat Tax Rate</t>
  </si>
  <si>
    <t>Penalty</t>
  </si>
  <si>
    <t>Base Income</t>
  </si>
  <si>
    <t>Amount Owed</t>
  </si>
  <si>
    <t>Penalty %</t>
  </si>
  <si>
    <t>Alternate 1</t>
  </si>
  <si>
    <t>Alternate 2</t>
  </si>
  <si>
    <t>State</t>
  </si>
  <si>
    <t>Allowance</t>
  </si>
  <si>
    <t>OK</t>
  </si>
  <si>
    <t>GA</t>
  </si>
  <si>
    <t>TN</t>
  </si>
  <si>
    <t>ID #</t>
  </si>
  <si>
    <t>Taxable Income</t>
  </si>
  <si>
    <t>State of Residence</t>
  </si>
  <si>
    <t>Actual Withhold-ing Paid</t>
  </si>
  <si>
    <t>Estimated Taxes Paid</t>
  </si>
  <si>
    <t>Actual Tax Owed</t>
  </si>
  <si>
    <t>Flat Tax Alternate 1</t>
  </si>
  <si>
    <t>Flat Tax Alternate 2</t>
  </si>
  <si>
    <t>Actual Unpaid Tax</t>
  </si>
  <si>
    <t>Unpaid Tax Alternate 1</t>
  </si>
  <si>
    <t>Unpaid Tax Alternate 2</t>
  </si>
  <si>
    <t>Actual Penalty Owed</t>
  </si>
  <si>
    <t>Penalty Alternate 1</t>
  </si>
  <si>
    <t>Penalty Alternate 2</t>
  </si>
  <si>
    <t xml:space="preserve">State Allowance </t>
  </si>
  <si>
    <t>NY</t>
  </si>
  <si>
    <t>Total Revenues:</t>
  </si>
  <si>
    <t>Corporate Request Form</t>
  </si>
  <si>
    <t>Date</t>
  </si>
  <si>
    <t>Traveler</t>
  </si>
  <si>
    <t>Flight No.</t>
  </si>
  <si>
    <t>Corporate Fare</t>
  </si>
  <si>
    <t>Departure City</t>
  </si>
  <si>
    <t>Arrival City</t>
  </si>
  <si>
    <t>Base Fare</t>
  </si>
  <si>
    <t>Weekday</t>
  </si>
  <si>
    <t>Fare Category</t>
  </si>
  <si>
    <t>Discounted Fare</t>
  </si>
  <si>
    <t>Airport Fee</t>
  </si>
  <si>
    <t>America Travels Total Ticket Price</t>
  </si>
  <si>
    <t>Less than Corp. Rate?</t>
  </si>
  <si>
    <t>Lumsky, Donald</t>
  </si>
  <si>
    <t>Simpson, James</t>
  </si>
  <si>
    <t>Hart, Agatha</t>
  </si>
  <si>
    <t>Kopp, Francis</t>
  </si>
  <si>
    <t>Denver</t>
  </si>
  <si>
    <t>Seattle</t>
  </si>
  <si>
    <t>Atlanta</t>
  </si>
  <si>
    <t>New York</t>
  </si>
  <si>
    <t>Detroit</t>
  </si>
  <si>
    <t>London</t>
  </si>
  <si>
    <t>San Francisco</t>
  </si>
  <si>
    <t>LA</t>
  </si>
  <si>
    <t>DC</t>
  </si>
  <si>
    <t>Boston</t>
  </si>
  <si>
    <t>Miami</t>
  </si>
  <si>
    <t>Kansas City</t>
  </si>
  <si>
    <t>Dallas</t>
  </si>
  <si>
    <t>Chicago</t>
  </si>
  <si>
    <t>Indianapolis</t>
  </si>
  <si>
    <t>Cleveland</t>
  </si>
  <si>
    <t>Houston</t>
  </si>
  <si>
    <t>Columbus</t>
  </si>
  <si>
    <t>Ticket Price</t>
  </si>
  <si>
    <t>Airport Fees</t>
  </si>
  <si>
    <t>Discount Category</t>
  </si>
  <si>
    <t>X</t>
  </si>
  <si>
    <t>Y</t>
  </si>
  <si>
    <t>Z</t>
  </si>
  <si>
    <t>Discounts Given by category</t>
  </si>
  <si>
    <t>Pricing Information for Golf Equipment</t>
  </si>
  <si>
    <t xml:space="preserve">TheZone Equipment Division </t>
  </si>
  <si>
    <t>Titanium Driver - Men</t>
  </si>
  <si>
    <t>Fusion Driver - Women</t>
  </si>
  <si>
    <t>Titanium Driver - Women</t>
  </si>
  <si>
    <t>Fairway Woods - Men</t>
  </si>
  <si>
    <t>Hybrid Woods - Men</t>
  </si>
  <si>
    <t>Fusion Fairway - Women</t>
  </si>
  <si>
    <t>Stainless Steel Fairway - Women</t>
  </si>
  <si>
    <t>Irons w/Steel Shafts - Men</t>
  </si>
  <si>
    <t>Hybrid Irons - Men</t>
  </si>
  <si>
    <t>Irons w/Steel Shafts - Women</t>
  </si>
  <si>
    <t>Hybrid Irons - Women</t>
  </si>
  <si>
    <t>Steel Putter - Men</t>
  </si>
  <si>
    <t>Steel Putter - Women</t>
  </si>
  <si>
    <t>Forged Wedges - Men</t>
  </si>
  <si>
    <t>Package - Men</t>
  </si>
  <si>
    <t>Package - Women</t>
  </si>
  <si>
    <t>Golf Products Order Form</t>
  </si>
  <si>
    <t>Handling</t>
  </si>
  <si>
    <t>Handling charges:</t>
  </si>
  <si>
    <t>Total order value</t>
  </si>
  <si>
    <t>Handling charge (% of order value)</t>
  </si>
  <si>
    <t>Minimum Handling Charge</t>
  </si>
  <si>
    <t>Less than $10,000, no discount</t>
  </si>
  <si>
    <t>At least $10,000 but less than $20,000, $150 discount</t>
  </si>
  <si>
    <t>At least $20,000 but less than $50,000, $400 discount</t>
  </si>
  <si>
    <t>$50,000 or more, $1000 discount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</si>
</sst>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0&quot;??_);_(@_)"/>
    <numFmt numFmtId="166" formatCode="&quot;$&quot;#,##0"/>
    <numFmt numFmtId="167" formatCode="_(* #,##0.00_);_(* \(#,##0.00\);_(* &quot;0&quot;??_);_(@_)"/>
    <numFmt numFmtId="168" formatCode="_(* #,##0.00_);_(* \(#,##0.00\);_(* &quot;*0&quot;??_);_(@_)"/>
    <numFmt numFmtId="169" formatCode="_(&quot;$&quot;* #,##0_);_(&quot;$&quot;* \(#,##0\);_(&quot;$&quot;* &quot;0&quot;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0&quot;??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_);_(@_)"/>
    <numFmt numFmtId="177" formatCode="_(&quot;$&quot;* #,##0.00_);_(&quot;$&quot;* \(#,##0.00\);_(&quot;$&quot;* &quot;-&quot;_);_(@_)"/>
    <numFmt numFmtId="178" formatCode="[$-409]dddd\,\ mmmm\ dd\,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44" applyBorder="1" applyAlignment="1">
      <alignment/>
    </xf>
    <xf numFmtId="9" fontId="0" fillId="0" borderId="10" xfId="60" applyBorder="1" applyAlignment="1">
      <alignment/>
    </xf>
    <xf numFmtId="0" fontId="0" fillId="0" borderId="0" xfId="0" applyBorder="1" applyAlignment="1">
      <alignment/>
    </xf>
    <xf numFmtId="44" fontId="0" fillId="0" borderId="0" xfId="44" applyBorder="1" applyAlignment="1">
      <alignment/>
    </xf>
    <xf numFmtId="0" fontId="3" fillId="34" borderId="10" xfId="0" applyFont="1" applyFill="1" applyBorder="1" applyAlignment="1">
      <alignment horizontal="centerContinuous" wrapText="1"/>
    </xf>
    <xf numFmtId="0" fontId="3" fillId="34" borderId="11" xfId="0" applyFont="1" applyFill="1" applyBorder="1" applyAlignment="1">
      <alignment horizontal="centerContinuous" wrapText="1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Continuous" wrapText="1"/>
    </xf>
    <xf numFmtId="0" fontId="0" fillId="0" borderId="10" xfId="0" applyNumberFormat="1" applyFill="1" applyBorder="1" applyAlignment="1">
      <alignment/>
    </xf>
    <xf numFmtId="0" fontId="0" fillId="0" borderId="10" xfId="6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Continuous" vertical="center" wrapText="1"/>
    </xf>
    <xf numFmtId="0" fontId="0" fillId="35" borderId="10" xfId="0" applyFill="1" applyBorder="1" applyAlignment="1">
      <alignment horizontal="centerContinuous" wrapText="1"/>
    </xf>
    <xf numFmtId="0" fontId="0" fillId="35" borderId="12" xfId="0" applyFill="1" applyBorder="1" applyAlignment="1">
      <alignment horizontal="centerContinuous" wrapText="1"/>
    </xf>
    <xf numFmtId="0" fontId="0" fillId="35" borderId="12" xfId="0" applyFill="1" applyBorder="1" applyAlignment="1">
      <alignment horizontal="centerContinuous"/>
    </xf>
    <xf numFmtId="44" fontId="0" fillId="0" borderId="10" xfId="44" applyBorder="1" applyAlignment="1">
      <alignment horizontal="center"/>
    </xf>
    <xf numFmtId="4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ill="1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42" fontId="0" fillId="0" borderId="10" xfId="44" applyNumberFormat="1" applyBorder="1" applyAlignment="1">
      <alignment/>
    </xf>
    <xf numFmtId="0" fontId="4" fillId="35" borderId="10" xfId="0" applyFont="1" applyFill="1" applyBorder="1" applyAlignment="1">
      <alignment horizontal="centerContinuous"/>
    </xf>
    <xf numFmtId="0" fontId="4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Continuous" wrapText="1"/>
    </xf>
    <xf numFmtId="44" fontId="0" fillId="37" borderId="10" xfId="44" applyFill="1" applyBorder="1" applyAlignment="1">
      <alignment horizontal="center"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/>
    </xf>
    <xf numFmtId="0" fontId="7" fillId="35" borderId="15" xfId="0" applyFont="1" applyFill="1" applyBorder="1" applyAlignment="1">
      <alignment horizontal="centerContinuous" vertical="center"/>
    </xf>
    <xf numFmtId="0" fontId="4" fillId="35" borderId="16" xfId="0" applyFont="1" applyFill="1" applyBorder="1" applyAlignment="1">
      <alignment horizontal="centerContinuous" vertical="center"/>
    </xf>
    <xf numFmtId="0" fontId="4" fillId="35" borderId="17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169" fontId="0" fillId="0" borderId="10" xfId="42" applyNumberFormat="1" applyFont="1" applyBorder="1" applyAlignment="1">
      <alignment/>
    </xf>
    <xf numFmtId="42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9" fontId="0" fillId="0" borderId="10" xfId="60" applyFont="1" applyBorder="1" applyAlignment="1">
      <alignment/>
    </xf>
    <xf numFmtId="175" fontId="0" fillId="0" borderId="10" xfId="42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164" fontId="0" fillId="0" borderId="10" xfId="44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3" fontId="0" fillId="0" borderId="10" xfId="42" applyFont="1" applyBorder="1" applyAlignment="1">
      <alignment horizontal="center"/>
    </xf>
    <xf numFmtId="169" fontId="0" fillId="0" borderId="10" xfId="44" applyNumberFormat="1" applyFont="1" applyBorder="1" applyAlignment="1" quotePrefix="1">
      <alignment/>
    </xf>
    <xf numFmtId="164" fontId="0" fillId="38" borderId="10" xfId="44" applyNumberFormat="1" applyFont="1" applyFill="1" applyBorder="1" applyAlignment="1" quotePrefix="1">
      <alignment/>
    </xf>
    <xf numFmtId="175" fontId="0" fillId="38" borderId="10" xfId="42" applyNumberFormat="1" applyFont="1" applyFill="1" applyBorder="1" applyAlignment="1">
      <alignment/>
    </xf>
    <xf numFmtId="44" fontId="0" fillId="38" borderId="10" xfId="44" applyFont="1" applyFill="1" applyBorder="1" applyAlignment="1">
      <alignment/>
    </xf>
    <xf numFmtId="164" fontId="0" fillId="38" borderId="10" xfId="44" applyNumberFormat="1" applyFont="1" applyFill="1" applyBorder="1" applyAlignment="1">
      <alignment/>
    </xf>
    <xf numFmtId="175" fontId="0" fillId="0" borderId="10" xfId="42" applyNumberFormat="1" applyFont="1" applyBorder="1" applyAlignment="1" quotePrefix="1">
      <alignment/>
    </xf>
    <xf numFmtId="175" fontId="0" fillId="38" borderId="10" xfId="42" applyNumberFormat="1" applyFont="1" applyFill="1" applyBorder="1" applyAlignment="1" quotePrefix="1">
      <alignment/>
    </xf>
    <xf numFmtId="4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7" fontId="0" fillId="38" borderId="10" xfId="44" applyNumberFormat="1" applyFont="1" applyFill="1" applyBorder="1" applyAlignment="1" quotePrefix="1">
      <alignment/>
    </xf>
    <xf numFmtId="177" fontId="0" fillId="38" borderId="10" xfId="42" applyNumberFormat="1" applyFont="1" applyFill="1" applyBorder="1" applyAlignment="1" quotePrefix="1">
      <alignment/>
    </xf>
    <xf numFmtId="164" fontId="0" fillId="35" borderId="10" xfId="44" applyNumberFormat="1" applyFont="1" applyFill="1" applyBorder="1" applyAlignment="1" quotePrefix="1">
      <alignment/>
    </xf>
    <xf numFmtId="175" fontId="0" fillId="35" borderId="10" xfId="42" applyNumberFormat="1" applyFont="1" applyFill="1" applyBorder="1" applyAlignment="1" quotePrefix="1">
      <alignment/>
    </xf>
    <xf numFmtId="0" fontId="10" fillId="39" borderId="10" xfId="0" applyFont="1" applyFill="1" applyBorder="1" applyAlignment="1">
      <alignment horizontal="centerContinuous"/>
    </xf>
    <xf numFmtId="0" fontId="0" fillId="39" borderId="10" xfId="0" applyFill="1" applyBorder="1" applyAlignment="1">
      <alignment horizontal="centerContinuous"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0" fillId="0" borderId="10" xfId="44" applyNumberFormat="1" applyFill="1" applyBorder="1" applyAlignment="1">
      <alignment/>
    </xf>
    <xf numFmtId="0" fontId="0" fillId="40" borderId="10" xfId="44" applyNumberFormat="1" applyFill="1" applyBorder="1" applyAlignment="1">
      <alignment/>
    </xf>
    <xf numFmtId="0" fontId="0" fillId="40" borderId="10" xfId="0" applyNumberFormat="1" applyFill="1" applyBorder="1" applyAlignment="1">
      <alignment horizontal="center"/>
    </xf>
    <xf numFmtId="42" fontId="0" fillId="0" borderId="10" xfId="42" applyNumberFormat="1" applyFill="1" applyBorder="1" applyAlignment="1">
      <alignment/>
    </xf>
    <xf numFmtId="0" fontId="0" fillId="40" borderId="10" xfId="42" applyNumberFormat="1" applyFill="1" applyBorder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12" fillId="0" borderId="0" xfId="0" applyFont="1" applyAlignment="1">
      <alignment horizontal="justify"/>
    </xf>
    <xf numFmtId="43" fontId="0" fillId="0" borderId="10" xfId="42" applyBorder="1" applyAlignment="1">
      <alignment/>
    </xf>
    <xf numFmtId="0" fontId="4" fillId="39" borderId="10" xfId="0" applyFont="1" applyFill="1" applyBorder="1" applyAlignment="1">
      <alignment horizontal="centerContinuous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44" fontId="1" fillId="0" borderId="10" xfId="44" applyFont="1" applyBorder="1" applyAlignment="1">
      <alignment/>
    </xf>
    <xf numFmtId="0" fontId="0" fillId="38" borderId="10" xfId="0" applyFill="1" applyBorder="1" applyAlignment="1">
      <alignment horizontal="center"/>
    </xf>
    <xf numFmtId="0" fontId="0" fillId="40" borderId="10" xfId="44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35" borderId="18" xfId="0" applyFill="1" applyBorder="1" applyAlignment="1">
      <alignment horizontal="center"/>
    </xf>
    <xf numFmtId="0" fontId="0" fillId="0" borderId="15" xfId="0" applyBorder="1" applyAlignment="1">
      <alignment/>
    </xf>
    <xf numFmtId="44" fontId="0" fillId="0" borderId="10" xfId="46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35" borderId="10" xfId="0" applyFill="1" applyBorder="1" applyAlignment="1">
      <alignment/>
    </xf>
    <xf numFmtId="164" fontId="0" fillId="0" borderId="10" xfId="46" applyNumberFormat="1" applyBorder="1" applyAlignment="1">
      <alignment/>
    </xf>
    <xf numFmtId="164" fontId="0" fillId="0" borderId="10" xfId="46" applyNumberForma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42" fontId="0" fillId="0" borderId="10" xfId="46" applyNumberFormat="1" applyBorder="1" applyAlignment="1">
      <alignment/>
    </xf>
    <xf numFmtId="44" fontId="0" fillId="0" borderId="10" xfId="46" applyFont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12" xfId="0" applyFill="1" applyBorder="1" applyAlignment="1">
      <alignment horizontal="center" wrapText="1"/>
    </xf>
    <xf numFmtId="0" fontId="0" fillId="35" borderId="12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7" fillId="35" borderId="1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tabSelected="1"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2" width="8.7109375" style="0" customWidth="1"/>
    <col min="4" max="4" width="9.00390625" style="0" customWidth="1"/>
    <col min="6" max="7" width="8.7109375" style="0" customWidth="1"/>
    <col min="8" max="8" width="10.00390625" style="0" customWidth="1"/>
    <col min="9" max="9" width="9.57421875" style="0" customWidth="1"/>
    <col min="12" max="12" width="1.8515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0" ht="25.5">
      <c r="A4" s="12" t="s">
        <v>15</v>
      </c>
      <c r="B4" s="12" t="s">
        <v>16</v>
      </c>
      <c r="C4" s="12" t="s">
        <v>17</v>
      </c>
      <c r="D4" s="12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7</v>
      </c>
      <c r="J4" s="11" t="s">
        <v>23</v>
      </c>
    </row>
    <row r="5" spans="1:10" ht="12.75">
      <c r="A5" s="4">
        <v>1</v>
      </c>
      <c r="B5" s="3" t="s">
        <v>24</v>
      </c>
      <c r="C5" s="3" t="s">
        <v>10</v>
      </c>
      <c r="D5" s="4">
        <v>240</v>
      </c>
      <c r="E5" s="5">
        <f aca="true" t="shared" si="0" ref="E5:E10">VLOOKUP(D5,A$15:B$18,2)</f>
        <v>2</v>
      </c>
      <c r="F5" s="5">
        <f aca="true" t="shared" si="1" ref="F5:F10">ROUND(D5*E5,2)</f>
        <v>480</v>
      </c>
      <c r="G5" s="5">
        <f aca="true" t="shared" si="2" ref="G5:G10">VLOOKUP(C5,D$15:E$18,2,0)</f>
        <v>0.2</v>
      </c>
      <c r="H5" s="5">
        <f aca="true" t="shared" si="3" ref="H5:H10">ROUND(G5*D5,2)</f>
        <v>48</v>
      </c>
      <c r="I5" s="5">
        <f aca="true" t="shared" si="4" ref="I5:I10">-HLOOKUP(F5,I$15:K$17,K$19)*H5</f>
        <v>-4.800000000000001</v>
      </c>
      <c r="J5" s="5">
        <f aca="true" t="shared" si="5" ref="J5:J10">SUM(F5,H5:I5)</f>
        <v>523.2</v>
      </c>
    </row>
    <row r="6" spans="1:10" ht="12.75">
      <c r="A6" s="4">
        <v>2</v>
      </c>
      <c r="B6" s="3" t="s">
        <v>25</v>
      </c>
      <c r="C6" s="3" t="s">
        <v>10</v>
      </c>
      <c r="D6" s="4">
        <v>30</v>
      </c>
      <c r="E6" s="5">
        <f t="shared" si="0"/>
        <v>2.45</v>
      </c>
      <c r="F6" s="5">
        <f t="shared" si="1"/>
        <v>73.5</v>
      </c>
      <c r="G6" s="5">
        <f>VLOOKUP(C6,D$15:E$18,2,0)</f>
        <v>0.2</v>
      </c>
      <c r="H6" s="5">
        <f t="shared" si="3"/>
        <v>6</v>
      </c>
      <c r="I6" s="5">
        <f t="shared" si="4"/>
        <v>0</v>
      </c>
      <c r="J6" s="5">
        <f t="shared" si="5"/>
        <v>79.5</v>
      </c>
    </row>
    <row r="7" spans="1:10" ht="12.75">
      <c r="A7" s="4">
        <v>3</v>
      </c>
      <c r="B7" s="3" t="s">
        <v>26</v>
      </c>
      <c r="C7" s="3" t="s">
        <v>12</v>
      </c>
      <c r="D7" s="4">
        <v>160</v>
      </c>
      <c r="E7" s="5">
        <f t="shared" si="0"/>
        <v>2.12</v>
      </c>
      <c r="F7" s="5">
        <f t="shared" si="1"/>
        <v>339.2</v>
      </c>
      <c r="G7" s="5">
        <f t="shared" si="2"/>
        <v>0.15</v>
      </c>
      <c r="H7" s="5">
        <f t="shared" si="3"/>
        <v>24</v>
      </c>
      <c r="I7" s="5">
        <f t="shared" si="4"/>
        <v>-2.4000000000000004</v>
      </c>
      <c r="J7" s="5">
        <f t="shared" si="5"/>
        <v>360.8</v>
      </c>
    </row>
    <row r="8" spans="1:10" ht="12.75">
      <c r="A8" s="4">
        <v>4</v>
      </c>
      <c r="B8" s="3" t="s">
        <v>27</v>
      </c>
      <c r="C8" s="3" t="s">
        <v>8</v>
      </c>
      <c r="D8" s="4">
        <v>215</v>
      </c>
      <c r="E8" s="5">
        <f t="shared" si="0"/>
        <v>2.12</v>
      </c>
      <c r="F8" s="5">
        <f t="shared" si="1"/>
        <v>455.8</v>
      </c>
      <c r="G8" s="5">
        <f t="shared" si="2"/>
        <v>0.25</v>
      </c>
      <c r="H8" s="5">
        <f t="shared" si="3"/>
        <v>53.75</v>
      </c>
      <c r="I8" s="5">
        <f t="shared" si="4"/>
        <v>-5.375</v>
      </c>
      <c r="J8" s="5">
        <f t="shared" si="5"/>
        <v>504.175</v>
      </c>
    </row>
    <row r="9" spans="1:10" ht="12.75">
      <c r="A9" s="4">
        <v>5</v>
      </c>
      <c r="B9" s="3" t="s">
        <v>28</v>
      </c>
      <c r="C9" s="3" t="s">
        <v>8</v>
      </c>
      <c r="D9" s="4">
        <v>90</v>
      </c>
      <c r="E9" s="5">
        <f t="shared" si="0"/>
        <v>2.27</v>
      </c>
      <c r="F9" s="5">
        <f t="shared" si="1"/>
        <v>204.3</v>
      </c>
      <c r="G9" s="5">
        <f t="shared" si="2"/>
        <v>0.25</v>
      </c>
      <c r="H9" s="5">
        <f t="shared" si="3"/>
        <v>22.5</v>
      </c>
      <c r="I9" s="5">
        <f t="shared" si="4"/>
        <v>0</v>
      </c>
      <c r="J9" s="5">
        <f t="shared" si="5"/>
        <v>226.8</v>
      </c>
    </row>
    <row r="10" spans="1:10" ht="12.75">
      <c r="A10" s="4">
        <v>6</v>
      </c>
      <c r="B10" s="3" t="s">
        <v>29</v>
      </c>
      <c r="C10" s="3" t="s">
        <v>14</v>
      </c>
      <c r="D10" s="4">
        <v>15</v>
      </c>
      <c r="E10" s="5">
        <f t="shared" si="0"/>
        <v>2.45</v>
      </c>
      <c r="F10" s="5">
        <f t="shared" si="1"/>
        <v>36.75</v>
      </c>
      <c r="G10" s="5">
        <f t="shared" si="2"/>
        <v>0</v>
      </c>
      <c r="H10" s="5">
        <f t="shared" si="3"/>
        <v>0</v>
      </c>
      <c r="I10" s="5">
        <f t="shared" si="4"/>
        <v>0</v>
      </c>
      <c r="J10" s="5">
        <f t="shared" si="5"/>
        <v>36.75</v>
      </c>
    </row>
    <row r="12" spans="1:11" ht="12.75">
      <c r="A12" s="10" t="s">
        <v>30</v>
      </c>
      <c r="B12" s="10"/>
      <c r="C12" s="9"/>
      <c r="D12" s="10"/>
      <c r="E12" s="10"/>
      <c r="F12" s="9"/>
      <c r="G12" s="9"/>
      <c r="H12" s="9"/>
      <c r="I12" s="9"/>
      <c r="J12" s="9"/>
      <c r="K12" s="9"/>
    </row>
    <row r="13" spans="1:5" ht="12.75">
      <c r="A13" s="114" t="s">
        <v>2</v>
      </c>
      <c r="B13" s="115"/>
      <c r="D13" s="114" t="s">
        <v>3</v>
      </c>
      <c r="E13" s="114"/>
    </row>
    <row r="14" spans="1:11" ht="12.75">
      <c r="A14" s="3" t="s">
        <v>4</v>
      </c>
      <c r="B14" s="3" t="s">
        <v>5</v>
      </c>
      <c r="D14" s="3" t="s">
        <v>6</v>
      </c>
      <c r="E14" s="3" t="s">
        <v>5</v>
      </c>
      <c r="G14" s="114" t="s">
        <v>7</v>
      </c>
      <c r="H14" s="114"/>
      <c r="I14" s="114"/>
      <c r="J14" s="114"/>
      <c r="K14" s="114"/>
    </row>
    <row r="15" spans="1:13" ht="12.75">
      <c r="A15" s="4">
        <v>0</v>
      </c>
      <c r="B15" s="5">
        <v>2.45</v>
      </c>
      <c r="D15" s="4" t="s">
        <v>8</v>
      </c>
      <c r="E15" s="5">
        <v>0.25</v>
      </c>
      <c r="G15" s="4" t="s">
        <v>9</v>
      </c>
      <c r="H15" s="4"/>
      <c r="I15" s="4">
        <v>0</v>
      </c>
      <c r="J15" s="4">
        <v>300</v>
      </c>
      <c r="K15" s="4">
        <v>1000</v>
      </c>
      <c r="M15" s="14">
        <v>1</v>
      </c>
    </row>
    <row r="16" spans="1:13" ht="12.75">
      <c r="A16" s="4">
        <v>60</v>
      </c>
      <c r="B16" s="5">
        <v>2.27</v>
      </c>
      <c r="D16" s="4" t="s">
        <v>10</v>
      </c>
      <c r="E16" s="5">
        <v>0.2</v>
      </c>
      <c r="G16" s="4" t="s">
        <v>11</v>
      </c>
      <c r="H16" s="4"/>
      <c r="I16" s="6">
        <v>0</v>
      </c>
      <c r="J16" s="6">
        <v>0.15</v>
      </c>
      <c r="K16" s="6">
        <v>0.25</v>
      </c>
      <c r="M16" s="15">
        <v>2</v>
      </c>
    </row>
    <row r="17" spans="1:13" ht="12.75">
      <c r="A17" s="4">
        <v>120</v>
      </c>
      <c r="B17" s="5">
        <v>2.12</v>
      </c>
      <c r="D17" s="4" t="s">
        <v>12</v>
      </c>
      <c r="E17" s="5">
        <v>0.15</v>
      </c>
      <c r="G17" s="4" t="s">
        <v>13</v>
      </c>
      <c r="H17" s="4"/>
      <c r="I17" s="6">
        <v>0</v>
      </c>
      <c r="J17" s="6">
        <v>0.1</v>
      </c>
      <c r="K17" s="6">
        <v>0.15</v>
      </c>
      <c r="M17" s="15">
        <v>3</v>
      </c>
    </row>
    <row r="18" spans="1:5" ht="12.75">
      <c r="A18" s="4">
        <v>240</v>
      </c>
      <c r="B18" s="5">
        <v>2</v>
      </c>
      <c r="D18" s="4" t="s">
        <v>14</v>
      </c>
      <c r="E18" s="5">
        <v>0</v>
      </c>
    </row>
    <row r="19" spans="1:11" ht="12.75">
      <c r="A19" s="7"/>
      <c r="B19" s="8"/>
      <c r="D19" s="7"/>
      <c r="E19" s="8"/>
      <c r="G19" s="13" t="s">
        <v>31</v>
      </c>
      <c r="H19" s="13"/>
      <c r="I19" s="13"/>
      <c r="J19" s="13"/>
      <c r="K19" s="4">
        <f>M17</f>
        <v>3</v>
      </c>
    </row>
  </sheetData>
  <sheetProtection/>
  <mergeCells count="3">
    <mergeCell ref="A13:B13"/>
    <mergeCell ref="D13:E13"/>
    <mergeCell ref="G14:K1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9.8515625" style="0" bestFit="1" customWidth="1"/>
    <col min="6" max="6" width="11.28125" style="0" bestFit="1" customWidth="1"/>
  </cols>
  <sheetData>
    <row r="1" spans="1:7" ht="12.75">
      <c r="A1" s="108" t="s">
        <v>171</v>
      </c>
      <c r="B1" s="108"/>
      <c r="C1" s="108"/>
      <c r="D1" s="108"/>
      <c r="E1" s="108"/>
      <c r="F1" s="108"/>
      <c r="G1" s="108"/>
    </row>
    <row r="2" spans="1:7" ht="12.75">
      <c r="A2" s="4" t="s">
        <v>172</v>
      </c>
      <c r="B2" s="109">
        <v>0</v>
      </c>
      <c r="C2" s="109">
        <v>2500</v>
      </c>
      <c r="D2" s="109">
        <v>5000</v>
      </c>
      <c r="E2" s="109">
        <v>7500</v>
      </c>
      <c r="F2" s="110">
        <v>10000</v>
      </c>
      <c r="G2" s="110">
        <v>12500</v>
      </c>
    </row>
    <row r="3" spans="1:7" ht="12.75">
      <c r="A3" s="4" t="s">
        <v>173</v>
      </c>
      <c r="B3" s="4">
        <v>0.02</v>
      </c>
      <c r="C3" s="4">
        <v>0.03</v>
      </c>
      <c r="D3" s="4">
        <v>0.04</v>
      </c>
      <c r="E3" s="4">
        <v>0.05</v>
      </c>
      <c r="F3" s="4">
        <v>0.06</v>
      </c>
      <c r="G3" s="4">
        <v>0.07</v>
      </c>
    </row>
    <row r="5" spans="1:2" ht="12.75">
      <c r="A5" t="s">
        <v>174</v>
      </c>
      <c r="B5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8.7109375" style="0" bestFit="1" customWidth="1"/>
    <col min="2" max="2" width="17.421875" style="0" bestFit="1" customWidth="1"/>
    <col min="3" max="3" width="46.421875" style="0" bestFit="1" customWidth="1"/>
  </cols>
  <sheetData>
    <row r="1" spans="1:3" ht="12.75">
      <c r="A1" s="33" t="s">
        <v>63</v>
      </c>
      <c r="B1" s="33" t="s">
        <v>65</v>
      </c>
      <c r="C1" s="111" t="s">
        <v>39</v>
      </c>
    </row>
    <row r="2" spans="1:3" ht="12.75">
      <c r="A2" s="112">
        <v>0</v>
      </c>
      <c r="B2" s="112">
        <v>0</v>
      </c>
      <c r="C2" s="4" t="s">
        <v>175</v>
      </c>
    </row>
    <row r="3" spans="1:3" ht="12.75">
      <c r="A3" s="112">
        <v>150</v>
      </c>
      <c r="B3" s="112">
        <v>10000</v>
      </c>
      <c r="C3" s="4" t="s">
        <v>176</v>
      </c>
    </row>
    <row r="4" spans="1:3" ht="12.75">
      <c r="A4" s="112">
        <v>400</v>
      </c>
      <c r="B4" s="112">
        <v>20000</v>
      </c>
      <c r="C4" s="4" t="s">
        <v>177</v>
      </c>
    </row>
    <row r="5" spans="1:3" ht="12.75">
      <c r="A5" s="112">
        <v>1000</v>
      </c>
      <c r="B5" s="112">
        <v>50000</v>
      </c>
      <c r="C5" s="4" t="s">
        <v>178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sheetData>
    <row r="1" spans="1:5" ht="12.75">
      <c r="A1" s="4"/>
      <c r="B1" s="36" t="s">
        <v>70</v>
      </c>
      <c r="C1" s="36"/>
      <c r="D1" s="36"/>
      <c r="E1" s="36"/>
    </row>
    <row r="2" spans="1:5" ht="12.75">
      <c r="A2" s="37" t="s">
        <v>71</v>
      </c>
      <c r="B2" s="4">
        <v>1</v>
      </c>
      <c r="C2" s="4">
        <v>2</v>
      </c>
      <c r="D2" s="4">
        <v>3</v>
      </c>
      <c r="E2" s="4">
        <v>4</v>
      </c>
    </row>
    <row r="3" spans="1:5" ht="12.75">
      <c r="A3" s="4">
        <v>1</v>
      </c>
      <c r="B3" s="105">
        <v>0.1</v>
      </c>
      <c r="C3" s="105">
        <v>0.11</v>
      </c>
      <c r="D3" s="105">
        <v>1.5</v>
      </c>
      <c r="E3" s="105" t="s">
        <v>72</v>
      </c>
    </row>
    <row r="4" spans="1:5" ht="12.75">
      <c r="A4" s="4">
        <v>2</v>
      </c>
      <c r="B4" s="105">
        <v>0.18</v>
      </c>
      <c r="C4" s="105">
        <v>0.12</v>
      </c>
      <c r="D4" s="105">
        <v>2</v>
      </c>
      <c r="E4" s="105" t="s">
        <v>72</v>
      </c>
    </row>
    <row r="5" spans="1:5" ht="12.75">
      <c r="A5" s="4">
        <v>3</v>
      </c>
      <c r="B5" s="105">
        <v>0.24</v>
      </c>
      <c r="C5" s="105">
        <v>0.14</v>
      </c>
      <c r="D5" s="105">
        <v>2.1</v>
      </c>
      <c r="E5" s="105">
        <v>0.2</v>
      </c>
    </row>
    <row r="6" spans="1:5" ht="12.75">
      <c r="A6" s="4">
        <v>4</v>
      </c>
      <c r="B6" s="105">
        <v>0.28</v>
      </c>
      <c r="C6" s="105">
        <v>0.16</v>
      </c>
      <c r="D6" s="105">
        <v>2.25</v>
      </c>
      <c r="E6" s="105">
        <v>0.2</v>
      </c>
    </row>
    <row r="7" spans="1:5" ht="12.75">
      <c r="A7" s="4">
        <v>5</v>
      </c>
      <c r="B7" s="105">
        <v>0.45</v>
      </c>
      <c r="C7" s="105">
        <v>0.4</v>
      </c>
      <c r="D7" s="105">
        <v>3.5</v>
      </c>
      <c r="E7" s="105">
        <v>0.35</v>
      </c>
    </row>
    <row r="9" spans="1:5" ht="12.75">
      <c r="A9" s="4"/>
      <c r="B9" s="123" t="s">
        <v>73</v>
      </c>
      <c r="C9" s="115"/>
      <c r="D9" s="115"/>
      <c r="E9" s="115"/>
    </row>
    <row r="10" spans="1:5" ht="12.75">
      <c r="A10" s="33" t="s">
        <v>71</v>
      </c>
      <c r="B10" s="4">
        <v>1</v>
      </c>
      <c r="C10" s="4">
        <v>2</v>
      </c>
      <c r="D10" s="4">
        <v>3</v>
      </c>
      <c r="E10" s="4">
        <v>4</v>
      </c>
    </row>
    <row r="11" spans="1:5" ht="12.75">
      <c r="A11" s="4">
        <v>1</v>
      </c>
      <c r="B11" s="113">
        <v>0.09</v>
      </c>
      <c r="C11" s="113">
        <v>0.1</v>
      </c>
      <c r="D11" s="113">
        <v>1.35</v>
      </c>
      <c r="E11" s="113" t="s">
        <v>72</v>
      </c>
    </row>
    <row r="12" spans="1:5" ht="12.75">
      <c r="A12" s="4">
        <v>2</v>
      </c>
      <c r="B12" s="113">
        <v>0.16</v>
      </c>
      <c r="C12" s="113">
        <v>0.11</v>
      </c>
      <c r="D12" s="113">
        <v>1.8</v>
      </c>
      <c r="E12" s="113" t="s">
        <v>72</v>
      </c>
    </row>
    <row r="13" spans="1:5" ht="12.75">
      <c r="A13" s="4">
        <v>3</v>
      </c>
      <c r="B13" s="113">
        <v>0.22</v>
      </c>
      <c r="C13" s="113">
        <v>0.13</v>
      </c>
      <c r="D13" s="113">
        <v>1.89</v>
      </c>
      <c r="E13" s="113">
        <v>0.18</v>
      </c>
    </row>
    <row r="14" spans="1:5" ht="12.75">
      <c r="A14" s="4">
        <v>4</v>
      </c>
      <c r="B14" s="113">
        <v>0.25</v>
      </c>
      <c r="C14" s="113">
        <v>0.14</v>
      </c>
      <c r="D14" s="113">
        <v>2.03</v>
      </c>
      <c r="E14" s="113">
        <v>0.18</v>
      </c>
    </row>
    <row r="15" spans="1:5" ht="12.75">
      <c r="A15" s="4">
        <v>5</v>
      </c>
      <c r="B15" s="113">
        <v>0.41</v>
      </c>
      <c r="C15" s="113">
        <v>0.36</v>
      </c>
      <c r="D15" s="113">
        <v>3.15</v>
      </c>
      <c r="E15" s="113">
        <v>0.32</v>
      </c>
    </row>
    <row r="17" spans="1:5" ht="12.75">
      <c r="A17" s="4"/>
      <c r="B17" s="123" t="s">
        <v>74</v>
      </c>
      <c r="C17" s="123"/>
      <c r="D17" s="123"/>
      <c r="E17" s="123"/>
    </row>
    <row r="18" spans="1:5" ht="12.75">
      <c r="A18" s="33" t="s">
        <v>71</v>
      </c>
      <c r="B18" s="4">
        <v>1</v>
      </c>
      <c r="C18" s="4">
        <v>2</v>
      </c>
      <c r="D18" s="4">
        <v>3</v>
      </c>
      <c r="E18" s="4">
        <v>4</v>
      </c>
    </row>
    <row r="19" spans="1:5" ht="12.75">
      <c r="A19" s="4">
        <v>1</v>
      </c>
      <c r="B19" s="113">
        <v>0.08</v>
      </c>
      <c r="C19" s="113">
        <v>0.09</v>
      </c>
      <c r="D19" s="113">
        <v>1.22</v>
      </c>
      <c r="E19" s="113" t="s">
        <v>72</v>
      </c>
    </row>
    <row r="20" spans="1:5" ht="12.75">
      <c r="A20" s="4">
        <v>2</v>
      </c>
      <c r="B20" s="113">
        <v>0.15</v>
      </c>
      <c r="C20" s="113">
        <v>0.1</v>
      </c>
      <c r="D20" s="113">
        <v>1.62</v>
      </c>
      <c r="E20" s="113" t="s">
        <v>72</v>
      </c>
    </row>
    <row r="21" spans="1:5" ht="12.75">
      <c r="A21" s="4">
        <v>3</v>
      </c>
      <c r="B21" s="113">
        <v>0.19</v>
      </c>
      <c r="C21" s="113">
        <v>0.11</v>
      </c>
      <c r="D21" s="113">
        <v>1.7</v>
      </c>
      <c r="E21" s="113">
        <v>0.16</v>
      </c>
    </row>
    <row r="22" spans="1:5" ht="12.75">
      <c r="A22" s="4">
        <v>4</v>
      </c>
      <c r="B22" s="113">
        <v>0.23</v>
      </c>
      <c r="C22" s="113">
        <v>0.13</v>
      </c>
      <c r="D22" s="113">
        <v>1.82</v>
      </c>
      <c r="E22" s="113">
        <v>0.16</v>
      </c>
    </row>
    <row r="23" spans="1:5" ht="12.75">
      <c r="A23" s="4">
        <v>5</v>
      </c>
      <c r="B23" s="113">
        <v>0.36</v>
      </c>
      <c r="C23" s="113">
        <v>0.32</v>
      </c>
      <c r="D23" s="113">
        <v>2.84</v>
      </c>
      <c r="E23" s="113">
        <v>0.28</v>
      </c>
    </row>
  </sheetData>
  <sheetProtection/>
  <mergeCells count="2">
    <mergeCell ref="B9:E9"/>
    <mergeCell ref="B17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N6"/>
  <sheetViews>
    <sheetView zoomScale="62" zoomScaleNormal="62" zoomScalePageLayoutView="0" workbookViewId="0" topLeftCell="B1">
      <selection activeCell="I13" sqref="I13"/>
    </sheetView>
  </sheetViews>
  <sheetFormatPr defaultColWidth="9.140625" defaultRowHeight="12.75"/>
  <cols>
    <col min="1" max="1" width="24.140625" style="0" bestFit="1" customWidth="1"/>
    <col min="2" max="2" width="15.7109375" style="0" bestFit="1" customWidth="1"/>
    <col min="3" max="3" width="7.7109375" style="0" bestFit="1" customWidth="1"/>
    <col min="4" max="4" width="12.421875" style="0" bestFit="1" customWidth="1"/>
    <col min="5" max="5" width="16.8515625" style="0" bestFit="1" customWidth="1"/>
    <col min="6" max="6" width="13.421875" style="0" bestFit="1" customWidth="1"/>
    <col min="7" max="7" width="7.140625" style="0" bestFit="1" customWidth="1"/>
    <col min="8" max="8" width="10.7109375" style="0" bestFit="1" customWidth="1"/>
    <col min="9" max="9" width="11.140625" style="0" bestFit="1" customWidth="1"/>
    <col min="10" max="10" width="11.140625" style="42" bestFit="1" customWidth="1"/>
    <col min="11" max="11" width="13.57421875" style="0" bestFit="1" customWidth="1"/>
    <col min="13" max="13" width="19.140625" style="0" bestFit="1" customWidth="1"/>
    <col min="14" max="14" width="14.421875" style="0" bestFit="1" customWidth="1"/>
  </cols>
  <sheetData>
    <row r="1" spans="1:14" ht="18.75">
      <c r="A1" s="76" t="s">
        <v>108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45" customHeight="1">
      <c r="A2" s="78" t="s">
        <v>109</v>
      </c>
      <c r="B2" s="78" t="s">
        <v>110</v>
      </c>
      <c r="C2" s="79" t="s">
        <v>111</v>
      </c>
      <c r="D2" s="79" t="s">
        <v>112</v>
      </c>
      <c r="E2" s="79" t="s">
        <v>113</v>
      </c>
      <c r="F2" s="79" t="s">
        <v>114</v>
      </c>
      <c r="G2" s="79" t="s">
        <v>115</v>
      </c>
      <c r="H2" s="79" t="s">
        <v>116</v>
      </c>
      <c r="I2" s="79" t="s">
        <v>117</v>
      </c>
      <c r="J2" s="78" t="s">
        <v>63</v>
      </c>
      <c r="K2" s="79" t="s">
        <v>118</v>
      </c>
      <c r="L2" s="79" t="s">
        <v>119</v>
      </c>
      <c r="M2" s="79" t="s">
        <v>120</v>
      </c>
      <c r="N2" s="79" t="s">
        <v>121</v>
      </c>
    </row>
    <row r="3" spans="1:14" ht="12.75">
      <c r="A3" s="99">
        <v>38497</v>
      </c>
      <c r="B3" s="80" t="s">
        <v>122</v>
      </c>
      <c r="C3" s="80">
        <v>1080</v>
      </c>
      <c r="D3" s="81">
        <v>285</v>
      </c>
      <c r="E3" s="98" t="str">
        <f>VLOOKUP($C3,Flights,COLUMN('P351-353(2)'!B1))</f>
        <v>Chicago</v>
      </c>
      <c r="F3" s="82" t="str">
        <f>VLOOKUP($C3,Flights,COLUMN('P351-353(2)'!C1))</f>
        <v>NY</v>
      </c>
      <c r="G3" s="82">
        <f>VLOOKUP($C3,Flights,COLUMN('P351-353(2)'!D1))</f>
        <v>459</v>
      </c>
      <c r="H3" s="83">
        <f>WEEKDAY(A3,1)</f>
        <v>4</v>
      </c>
      <c r="I3" s="83">
        <f>LOOKUP(G3,'P351-353(3)'!B$2:B$9,'P351-353(3)'!A$2:A$9)</f>
        <v>2</v>
      </c>
      <c r="J3" s="83" t="str">
        <f>INDEX('P351-353(4)'!B$4:D$10,MATCH(H3,'P351-353(4)'!A$4:A$10),MATCH(I3,'P351-353(4)'!B$3:D$3))</f>
        <v>Y</v>
      </c>
      <c r="K3" s="82">
        <f>ROUND(G3-HLOOKUP(J3,'P351-353(4)'!$F$2:$H$3,2,0)*G3,0)</f>
        <v>207</v>
      </c>
      <c r="L3" s="82">
        <f>VLOOKUP(K3,'P351-353(3)'!B$2:C$9,2)</f>
        <v>25</v>
      </c>
      <c r="M3" s="82">
        <f>SUM(K3:L3)</f>
        <v>232</v>
      </c>
      <c r="N3" s="82" t="b">
        <f>M3&lt;D3</f>
        <v>1</v>
      </c>
    </row>
    <row r="4" spans="1:14" ht="12.75">
      <c r="A4" s="99">
        <v>38497</v>
      </c>
      <c r="B4" s="80" t="s">
        <v>123</v>
      </c>
      <c r="C4" s="80">
        <v>1034</v>
      </c>
      <c r="D4" s="84">
        <v>299</v>
      </c>
      <c r="E4" s="82" t="str">
        <f>VLOOKUP($C4,Flights,COLUMN('P351-353(2)'!B2))</f>
        <v>San Francisco</v>
      </c>
      <c r="F4" s="82" t="str">
        <f>VLOOKUP($C4,Flights,COLUMN('P351-353(2)'!C2))</f>
        <v>Denver</v>
      </c>
      <c r="G4" s="85">
        <f>VLOOKUP($C4,Flights,COLUMN('P351-353(2)'!D2))</f>
        <v>495</v>
      </c>
      <c r="H4" s="83">
        <f>WEEKDAY(A4,1)</f>
        <v>4</v>
      </c>
      <c r="I4" s="83">
        <f>LOOKUP(G4,'P351-353(3)'!B$2:B$9,'P351-353(3)'!A$2:A$9)</f>
        <v>2</v>
      </c>
      <c r="J4" s="83" t="str">
        <f>INDEX('P351-353(4)'!B$4:D$10,MATCH(H4,'P351-353(4)'!A$4:A$10),MATCH(I4,'P351-353(4)'!B$3:D$3))</f>
        <v>Y</v>
      </c>
      <c r="K4" s="82">
        <f>ROUND(G4-HLOOKUP(J4,'P351-353(4)'!$F$2:$H$3,2,0)*G4,0)</f>
        <v>223</v>
      </c>
      <c r="L4" s="85">
        <f>VLOOKUP(K4,'P351-353(3)'!B$2:C$9,2)</f>
        <v>25</v>
      </c>
      <c r="M4" s="85">
        <f>SUM(K4:L4)</f>
        <v>248</v>
      </c>
      <c r="N4" s="82" t="b">
        <f>M4&lt;D4</f>
        <v>1</v>
      </c>
    </row>
    <row r="5" spans="1:14" ht="12.75">
      <c r="A5" s="99">
        <v>38527</v>
      </c>
      <c r="B5" s="80" t="s">
        <v>124</v>
      </c>
      <c r="C5" s="80">
        <v>1002</v>
      </c>
      <c r="D5" s="84">
        <v>850</v>
      </c>
      <c r="E5" s="82" t="str">
        <f>VLOOKUP($C5,Flights,COLUMN('P351-353(2)'!B3))</f>
        <v>NY</v>
      </c>
      <c r="F5" s="82" t="str">
        <f>VLOOKUP($C5,Flights,COLUMN('P351-353(2)'!C3))</f>
        <v>Seattle</v>
      </c>
      <c r="G5" s="85">
        <f>VLOOKUP($C5,Flights,COLUMN('P351-353(2)'!D3))</f>
        <v>899</v>
      </c>
      <c r="H5" s="83">
        <f>WEEKDAY(A5,1)</f>
        <v>6</v>
      </c>
      <c r="I5" s="83">
        <f>LOOKUP(G5,'P351-353(3)'!B$2:B$9,'P351-353(3)'!A$2:A$9)</f>
        <v>3</v>
      </c>
      <c r="J5" s="83" t="str">
        <f>INDEX('P351-353(4)'!B$4:D$10,MATCH(H5,'P351-353(4)'!A$4:A$10),MATCH(I5,'P351-353(4)'!B$3:D$3))</f>
        <v>Z</v>
      </c>
      <c r="K5" s="82">
        <f>ROUND(G5-HLOOKUP(J5,'P351-353(4)'!$F$2:$H$3,2,0)*G5,0)</f>
        <v>315</v>
      </c>
      <c r="L5" s="85">
        <f>VLOOKUP(K5,'P351-353(3)'!B$2:C$9,2)</f>
        <v>35</v>
      </c>
      <c r="M5" s="85">
        <f>SUM(K5:L5)</f>
        <v>350</v>
      </c>
      <c r="N5" s="82" t="b">
        <f>M5&lt;D5</f>
        <v>1</v>
      </c>
    </row>
    <row r="6" spans="1:14" ht="12.75">
      <c r="A6" s="99">
        <v>38445</v>
      </c>
      <c r="B6" s="80" t="s">
        <v>125</v>
      </c>
      <c r="C6" s="80">
        <v>1072</v>
      </c>
      <c r="D6" s="84">
        <v>199</v>
      </c>
      <c r="E6" s="82" t="str">
        <f>VLOOKUP($C6,Flights,COLUMN('P351-353(2)'!B4))</f>
        <v>New York</v>
      </c>
      <c r="F6" s="82" t="str">
        <f>VLOOKUP($C6,Flights,COLUMN('P351-353(2)'!C4))</f>
        <v>Columbus</v>
      </c>
      <c r="G6" s="85">
        <f>VLOOKUP($C6,Flights,COLUMN('P351-353(2)'!D4))</f>
        <v>725</v>
      </c>
      <c r="H6" s="83">
        <f>WEEKDAY(A6,1)</f>
        <v>1</v>
      </c>
      <c r="I6" s="83">
        <f>LOOKUP(G6,'P351-353(3)'!B$2:B$9,'P351-353(3)'!A$2:A$9)</f>
        <v>2</v>
      </c>
      <c r="J6" s="83" t="str">
        <f>INDEX('P351-353(4)'!B$4:D$10,MATCH(H6,'P351-353(4)'!A$4:A$10),MATCH(I6,'P351-353(4)'!B$3:D$3))</f>
        <v>X</v>
      </c>
      <c r="K6" s="82">
        <f>ROUND(G6-HLOOKUP(J6,'P351-353(4)'!$F$2:$H$3,2,0)*G6,0)</f>
        <v>435</v>
      </c>
      <c r="L6" s="85">
        <f>VLOOKUP(K6,'P351-353(3)'!B$2:C$9,2)</f>
        <v>40</v>
      </c>
      <c r="M6" s="85">
        <f>SUM(K6:L6)</f>
        <v>475</v>
      </c>
      <c r="N6" s="82" t="b">
        <f>M6&lt;D6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D8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8.140625" style="87" bestFit="1" customWidth="1"/>
    <col min="2" max="2" width="12.28125" style="87" bestFit="1" customWidth="1"/>
    <col min="3" max="3" width="9.57421875" style="87" bestFit="1" customWidth="1"/>
    <col min="4" max="4" width="9.00390625" style="87" bestFit="1" customWidth="1"/>
    <col min="5" max="5" width="9.57421875" style="87" bestFit="1" customWidth="1"/>
    <col min="6" max="16384" width="9.140625" style="87" customWidth="1"/>
  </cols>
  <sheetData>
    <row r="1" spans="1:4" ht="11.25">
      <c r="A1" s="86" t="s">
        <v>111</v>
      </c>
      <c r="B1" s="86" t="s">
        <v>113</v>
      </c>
      <c r="C1" s="86" t="s">
        <v>114</v>
      </c>
      <c r="D1" s="86" t="s">
        <v>115</v>
      </c>
    </row>
    <row r="2" spans="1:4" ht="11.25">
      <c r="A2" s="88">
        <v>1000</v>
      </c>
      <c r="B2" s="88" t="s">
        <v>106</v>
      </c>
      <c r="C2" s="88" t="s">
        <v>126</v>
      </c>
      <c r="D2" s="96">
        <v>635</v>
      </c>
    </row>
    <row r="3" spans="1:4" ht="11.25">
      <c r="A3" s="88">
        <v>1001</v>
      </c>
      <c r="B3" s="88" t="s">
        <v>106</v>
      </c>
      <c r="C3" s="88" t="s">
        <v>127</v>
      </c>
      <c r="D3" s="96">
        <v>899</v>
      </c>
    </row>
    <row r="4" spans="1:4" ht="11.25">
      <c r="A4" s="88">
        <v>1002</v>
      </c>
      <c r="B4" s="88" t="s">
        <v>106</v>
      </c>
      <c r="C4" s="88" t="s">
        <v>127</v>
      </c>
      <c r="D4" s="96">
        <v>899</v>
      </c>
    </row>
    <row r="5" spans="1:4" ht="11.25">
      <c r="A5" s="88">
        <v>1003</v>
      </c>
      <c r="B5" s="88" t="s">
        <v>106</v>
      </c>
      <c r="C5" s="88" t="s">
        <v>128</v>
      </c>
      <c r="D5" s="96">
        <v>899</v>
      </c>
    </row>
    <row r="6" spans="1:4" ht="11.25">
      <c r="A6" s="88">
        <v>1004</v>
      </c>
      <c r="B6" s="88" t="s">
        <v>106</v>
      </c>
      <c r="C6" s="88" t="s">
        <v>128</v>
      </c>
      <c r="D6" s="96">
        <v>899</v>
      </c>
    </row>
    <row r="7" spans="1:4" ht="11.25">
      <c r="A7" s="88">
        <v>1005</v>
      </c>
      <c r="B7" s="88" t="s">
        <v>106</v>
      </c>
      <c r="C7" s="88" t="s">
        <v>128</v>
      </c>
      <c r="D7" s="96">
        <v>1200</v>
      </c>
    </row>
    <row r="8" spans="1:4" ht="11.25">
      <c r="A8" s="88">
        <v>1006</v>
      </c>
      <c r="B8" s="88" t="s">
        <v>129</v>
      </c>
      <c r="C8" s="88" t="s">
        <v>130</v>
      </c>
      <c r="D8" s="96">
        <v>486</v>
      </c>
    </row>
    <row r="9" spans="1:4" ht="11.25">
      <c r="A9" s="88">
        <v>1007</v>
      </c>
      <c r="B9" s="88" t="s">
        <v>131</v>
      </c>
      <c r="C9" s="88" t="s">
        <v>106</v>
      </c>
      <c r="D9" s="96">
        <v>1690</v>
      </c>
    </row>
    <row r="10" spans="1:4" ht="11.25">
      <c r="A10" s="88">
        <v>1008</v>
      </c>
      <c r="B10" s="89" t="s">
        <v>132</v>
      </c>
      <c r="C10" s="88" t="s">
        <v>130</v>
      </c>
      <c r="D10" s="96">
        <v>750</v>
      </c>
    </row>
    <row r="11" spans="1:4" ht="11.25">
      <c r="A11" s="88">
        <v>1009</v>
      </c>
      <c r="B11" s="88" t="s">
        <v>131</v>
      </c>
      <c r="C11" s="88" t="s">
        <v>106</v>
      </c>
      <c r="D11" s="96">
        <v>900</v>
      </c>
    </row>
    <row r="12" spans="1:4" ht="11.25">
      <c r="A12" s="88">
        <v>1010</v>
      </c>
      <c r="B12" s="88" t="s">
        <v>106</v>
      </c>
      <c r="C12" s="88" t="s">
        <v>133</v>
      </c>
      <c r="D12" s="96">
        <v>762</v>
      </c>
    </row>
    <row r="13" spans="1:4" ht="11.25">
      <c r="A13" s="88">
        <v>1011</v>
      </c>
      <c r="B13" s="88" t="s">
        <v>106</v>
      </c>
      <c r="C13" s="88" t="s">
        <v>127</v>
      </c>
      <c r="D13" s="96">
        <v>699</v>
      </c>
    </row>
    <row r="14" spans="1:4" ht="11.25">
      <c r="A14" s="88">
        <v>1012</v>
      </c>
      <c r="B14" s="88" t="s">
        <v>106</v>
      </c>
      <c r="C14" s="88" t="s">
        <v>134</v>
      </c>
      <c r="D14" s="96">
        <v>300</v>
      </c>
    </row>
    <row r="15" spans="1:4" ht="11.25">
      <c r="A15" s="88">
        <v>1013</v>
      </c>
      <c r="B15" s="88" t="s">
        <v>132</v>
      </c>
      <c r="C15" s="88" t="s">
        <v>127</v>
      </c>
      <c r="D15" s="96">
        <v>325</v>
      </c>
    </row>
    <row r="16" spans="1:4" ht="11.25">
      <c r="A16" s="88">
        <v>1014</v>
      </c>
      <c r="B16" s="88" t="s">
        <v>106</v>
      </c>
      <c r="C16" s="88" t="s">
        <v>135</v>
      </c>
      <c r="D16" s="96">
        <v>450</v>
      </c>
    </row>
    <row r="17" spans="1:4" ht="11.25">
      <c r="A17" s="88">
        <v>1015</v>
      </c>
      <c r="B17" s="88" t="s">
        <v>106</v>
      </c>
      <c r="C17" s="88" t="s">
        <v>135</v>
      </c>
      <c r="D17" s="96">
        <v>799</v>
      </c>
    </row>
    <row r="18" spans="1:4" ht="11.25">
      <c r="A18" s="88">
        <v>1016</v>
      </c>
      <c r="B18" s="88" t="s">
        <v>106</v>
      </c>
      <c r="C18" s="88" t="s">
        <v>136</v>
      </c>
      <c r="D18" s="96">
        <v>525</v>
      </c>
    </row>
    <row r="19" spans="1:4" ht="11.25">
      <c r="A19" s="88">
        <v>1017</v>
      </c>
      <c r="B19" s="88" t="s">
        <v>106</v>
      </c>
      <c r="C19" s="88" t="s">
        <v>135</v>
      </c>
      <c r="D19" s="96">
        <v>325</v>
      </c>
    </row>
    <row r="20" spans="1:4" ht="11.25">
      <c r="A20" s="88">
        <v>1018</v>
      </c>
      <c r="B20" s="88" t="s">
        <v>106</v>
      </c>
      <c r="C20" s="88" t="s">
        <v>137</v>
      </c>
      <c r="D20" s="96">
        <v>812</v>
      </c>
    </row>
    <row r="21" spans="1:4" ht="11.25">
      <c r="A21" s="88">
        <v>1019</v>
      </c>
      <c r="B21" s="88" t="s">
        <v>106</v>
      </c>
      <c r="C21" s="88" t="s">
        <v>135</v>
      </c>
      <c r="D21" s="96">
        <v>389</v>
      </c>
    </row>
    <row r="22" spans="1:4" ht="11.25">
      <c r="A22" s="88">
        <v>1020</v>
      </c>
      <c r="B22" s="88" t="s">
        <v>106</v>
      </c>
      <c r="C22" s="88" t="s">
        <v>135</v>
      </c>
      <c r="D22" s="96">
        <v>389</v>
      </c>
    </row>
    <row r="23" spans="1:4" ht="11.25">
      <c r="A23" s="88">
        <v>1021</v>
      </c>
      <c r="B23" s="88" t="s">
        <v>106</v>
      </c>
      <c r="C23" s="88" t="s">
        <v>134</v>
      </c>
      <c r="D23" s="96">
        <v>300</v>
      </c>
    </row>
    <row r="24" spans="1:4" ht="11.25">
      <c r="A24" s="88">
        <v>1022</v>
      </c>
      <c r="B24" s="88" t="s">
        <v>106</v>
      </c>
      <c r="C24" s="88" t="s">
        <v>135</v>
      </c>
      <c r="D24" s="96">
        <v>389</v>
      </c>
    </row>
    <row r="25" spans="1:4" ht="11.25">
      <c r="A25" s="88">
        <v>1023</v>
      </c>
      <c r="B25" s="88" t="s">
        <v>132</v>
      </c>
      <c r="C25" s="88" t="s">
        <v>127</v>
      </c>
      <c r="D25" s="96">
        <v>299</v>
      </c>
    </row>
    <row r="26" spans="1:4" ht="11.25">
      <c r="A26" s="88">
        <v>1024</v>
      </c>
      <c r="B26" s="89" t="s">
        <v>132</v>
      </c>
      <c r="C26" s="88" t="s">
        <v>137</v>
      </c>
      <c r="D26" s="96">
        <v>925</v>
      </c>
    </row>
    <row r="27" spans="1:4" ht="11.25">
      <c r="A27" s="88">
        <v>1025</v>
      </c>
      <c r="B27" s="88" t="s">
        <v>129</v>
      </c>
      <c r="C27" s="88" t="s">
        <v>138</v>
      </c>
      <c r="D27" s="96">
        <v>775</v>
      </c>
    </row>
    <row r="28" spans="1:4" ht="11.25">
      <c r="A28" s="88">
        <v>1026</v>
      </c>
      <c r="B28" s="88" t="s">
        <v>106</v>
      </c>
      <c r="C28" s="88" t="s">
        <v>136</v>
      </c>
      <c r="D28" s="96">
        <v>525</v>
      </c>
    </row>
    <row r="29" spans="1:4" ht="11.25">
      <c r="A29" s="88">
        <v>1027</v>
      </c>
      <c r="B29" s="89" t="s">
        <v>132</v>
      </c>
      <c r="C29" s="88" t="s">
        <v>128</v>
      </c>
      <c r="D29" s="96">
        <v>763</v>
      </c>
    </row>
    <row r="30" spans="1:4" ht="11.25">
      <c r="A30" s="88">
        <v>1028</v>
      </c>
      <c r="B30" s="88" t="s">
        <v>106</v>
      </c>
      <c r="C30" s="88" t="s">
        <v>126</v>
      </c>
      <c r="D30" s="96">
        <v>699</v>
      </c>
    </row>
    <row r="31" spans="1:4" ht="11.25">
      <c r="A31" s="88">
        <v>1029</v>
      </c>
      <c r="B31" s="88" t="s">
        <v>106</v>
      </c>
      <c r="C31" s="88" t="s">
        <v>133</v>
      </c>
      <c r="D31" s="96">
        <v>1250</v>
      </c>
    </row>
    <row r="32" spans="1:4" ht="11.25">
      <c r="A32" s="88">
        <v>1030</v>
      </c>
      <c r="B32" s="88" t="s">
        <v>139</v>
      </c>
      <c r="C32" s="88" t="s">
        <v>127</v>
      </c>
      <c r="D32" s="96">
        <v>670</v>
      </c>
    </row>
    <row r="33" spans="1:4" ht="11.25">
      <c r="A33" s="88">
        <v>1031</v>
      </c>
      <c r="B33" s="88" t="s">
        <v>106</v>
      </c>
      <c r="C33" s="88" t="s">
        <v>134</v>
      </c>
      <c r="D33" s="96">
        <v>452</v>
      </c>
    </row>
    <row r="34" spans="1:4" ht="11.25">
      <c r="A34" s="88">
        <v>1032</v>
      </c>
      <c r="B34" s="88" t="s">
        <v>106</v>
      </c>
      <c r="C34" s="88" t="s">
        <v>133</v>
      </c>
      <c r="D34" s="96">
        <v>899</v>
      </c>
    </row>
    <row r="35" spans="1:4" ht="11.25">
      <c r="A35" s="88">
        <v>1033</v>
      </c>
      <c r="B35" s="89" t="s">
        <v>132</v>
      </c>
      <c r="C35" s="88" t="s">
        <v>126</v>
      </c>
      <c r="D35" s="96">
        <v>384</v>
      </c>
    </row>
    <row r="36" spans="1:4" ht="11.25">
      <c r="A36" s="88">
        <v>1034</v>
      </c>
      <c r="B36" s="89" t="s">
        <v>132</v>
      </c>
      <c r="C36" s="88" t="s">
        <v>126</v>
      </c>
      <c r="D36" s="96">
        <v>495</v>
      </c>
    </row>
    <row r="37" spans="1:4" ht="11.25">
      <c r="A37" s="88">
        <v>1035</v>
      </c>
      <c r="B37" s="88" t="s">
        <v>106</v>
      </c>
      <c r="C37" s="88" t="s">
        <v>133</v>
      </c>
      <c r="D37" s="96">
        <v>599</v>
      </c>
    </row>
    <row r="38" spans="1:4" ht="11.25">
      <c r="A38" s="88">
        <v>1036</v>
      </c>
      <c r="B38" s="89" t="s">
        <v>132</v>
      </c>
      <c r="C38" s="88" t="s">
        <v>136</v>
      </c>
      <c r="D38" s="96">
        <v>733</v>
      </c>
    </row>
    <row r="39" spans="1:4" ht="11.25">
      <c r="A39" s="88">
        <v>1037</v>
      </c>
      <c r="B39" s="88" t="s">
        <v>106</v>
      </c>
      <c r="C39" s="88" t="s">
        <v>134</v>
      </c>
      <c r="D39" s="96">
        <v>282</v>
      </c>
    </row>
    <row r="40" spans="1:4" ht="11.25">
      <c r="A40" s="88">
        <v>1038</v>
      </c>
      <c r="B40" s="88" t="s">
        <v>106</v>
      </c>
      <c r="C40" s="88" t="s">
        <v>139</v>
      </c>
      <c r="D40" s="96">
        <v>799</v>
      </c>
    </row>
    <row r="41" spans="1:4" ht="11.25">
      <c r="A41" s="88">
        <v>1039</v>
      </c>
      <c r="B41" s="88" t="s">
        <v>106</v>
      </c>
      <c r="C41" s="88" t="s">
        <v>139</v>
      </c>
      <c r="D41" s="96">
        <v>699</v>
      </c>
    </row>
    <row r="42" spans="1:4" ht="11.25">
      <c r="A42" s="88">
        <v>1040</v>
      </c>
      <c r="B42" s="88" t="s">
        <v>131</v>
      </c>
      <c r="C42" s="88" t="s">
        <v>106</v>
      </c>
      <c r="D42" s="96">
        <v>1250</v>
      </c>
    </row>
    <row r="43" spans="1:4" ht="11.25">
      <c r="A43" s="88">
        <v>1041</v>
      </c>
      <c r="B43" s="88" t="s">
        <v>106</v>
      </c>
      <c r="C43" s="88" t="s">
        <v>139</v>
      </c>
      <c r="D43" s="96">
        <v>699</v>
      </c>
    </row>
    <row r="44" spans="1:4" ht="11.25">
      <c r="A44" s="88">
        <v>1042</v>
      </c>
      <c r="B44" s="88" t="s">
        <v>106</v>
      </c>
      <c r="C44" s="88" t="s">
        <v>139</v>
      </c>
      <c r="D44" s="96">
        <v>459</v>
      </c>
    </row>
    <row r="45" spans="1:4" ht="11.25">
      <c r="A45" s="88">
        <v>1043</v>
      </c>
      <c r="B45" s="88" t="s">
        <v>106</v>
      </c>
      <c r="C45" s="88" t="s">
        <v>139</v>
      </c>
      <c r="D45" s="96">
        <v>799</v>
      </c>
    </row>
    <row r="46" spans="1:4" ht="11.25">
      <c r="A46" s="88">
        <v>1044</v>
      </c>
      <c r="B46" s="88" t="s">
        <v>131</v>
      </c>
      <c r="C46" s="88" t="s">
        <v>136</v>
      </c>
      <c r="D46" s="96">
        <v>1299</v>
      </c>
    </row>
    <row r="47" spans="1:4" ht="11.25">
      <c r="A47" s="88">
        <v>1045</v>
      </c>
      <c r="B47" s="88" t="s">
        <v>106</v>
      </c>
      <c r="C47" s="88" t="s">
        <v>139</v>
      </c>
      <c r="D47" s="96">
        <v>702</v>
      </c>
    </row>
    <row r="48" spans="1:4" ht="11.25">
      <c r="A48" s="88">
        <v>1046</v>
      </c>
      <c r="B48" s="89" t="s">
        <v>132</v>
      </c>
      <c r="C48" s="88" t="s">
        <v>135</v>
      </c>
      <c r="D48" s="96">
        <v>1225</v>
      </c>
    </row>
    <row r="49" spans="1:4" ht="11.25">
      <c r="A49" s="88">
        <v>1047</v>
      </c>
      <c r="B49" s="88" t="s">
        <v>106</v>
      </c>
      <c r="C49" s="88" t="s">
        <v>134</v>
      </c>
      <c r="D49" s="96">
        <v>300</v>
      </c>
    </row>
    <row r="50" spans="1:4" ht="11.25">
      <c r="A50" s="88">
        <v>1048</v>
      </c>
      <c r="B50" s="88" t="s">
        <v>132</v>
      </c>
      <c r="C50" s="88" t="s">
        <v>134</v>
      </c>
      <c r="D50" s="96">
        <v>899</v>
      </c>
    </row>
    <row r="51" spans="1:4" ht="11.25">
      <c r="A51" s="88">
        <v>1049</v>
      </c>
      <c r="B51" s="88" t="s">
        <v>131</v>
      </c>
      <c r="C51" s="88" t="s">
        <v>135</v>
      </c>
      <c r="D51" s="96">
        <v>1525</v>
      </c>
    </row>
    <row r="52" spans="1:4" ht="11.25">
      <c r="A52" s="88">
        <v>1050</v>
      </c>
      <c r="B52" s="88" t="s">
        <v>132</v>
      </c>
      <c r="C52" s="88" t="s">
        <v>134</v>
      </c>
      <c r="D52" s="96">
        <v>1124</v>
      </c>
    </row>
    <row r="53" spans="1:4" ht="11.25">
      <c r="A53" s="88">
        <v>1051</v>
      </c>
      <c r="B53" s="88" t="s">
        <v>132</v>
      </c>
      <c r="C53" s="88" t="s">
        <v>106</v>
      </c>
      <c r="D53" s="96">
        <v>825</v>
      </c>
    </row>
    <row r="54" spans="1:4" ht="11.25">
      <c r="A54" s="88">
        <v>1052</v>
      </c>
      <c r="B54" s="88" t="s">
        <v>106</v>
      </c>
      <c r="C54" s="88" t="s">
        <v>140</v>
      </c>
      <c r="D54" s="96">
        <v>785</v>
      </c>
    </row>
    <row r="55" spans="1:4" ht="11.25">
      <c r="A55" s="88">
        <v>1053</v>
      </c>
      <c r="B55" s="88" t="s">
        <v>129</v>
      </c>
      <c r="C55" s="88" t="s">
        <v>138</v>
      </c>
      <c r="D55" s="96">
        <v>599</v>
      </c>
    </row>
    <row r="56" spans="1:4" ht="11.25">
      <c r="A56" s="88">
        <v>1054</v>
      </c>
      <c r="B56" s="89" t="s">
        <v>132</v>
      </c>
      <c r="C56" s="88" t="s">
        <v>139</v>
      </c>
      <c r="D56" s="96">
        <v>875</v>
      </c>
    </row>
    <row r="57" spans="1:4" ht="11.25">
      <c r="A57" s="88">
        <v>1055</v>
      </c>
      <c r="B57" s="89" t="s">
        <v>132</v>
      </c>
      <c r="C57" s="88" t="s">
        <v>139</v>
      </c>
      <c r="D57" s="96">
        <v>899</v>
      </c>
    </row>
    <row r="58" spans="1:4" ht="11.25">
      <c r="A58" s="88">
        <v>1056</v>
      </c>
      <c r="B58" s="89" t="s">
        <v>132</v>
      </c>
      <c r="C58" s="88" t="s">
        <v>138</v>
      </c>
      <c r="D58" s="96">
        <v>493</v>
      </c>
    </row>
    <row r="59" spans="1:4" ht="11.25">
      <c r="A59" s="88">
        <v>1057</v>
      </c>
      <c r="B59" s="89" t="s">
        <v>132</v>
      </c>
      <c r="C59" s="88" t="s">
        <v>140</v>
      </c>
      <c r="D59" s="96">
        <v>875</v>
      </c>
    </row>
    <row r="60" spans="1:4" ht="11.25">
      <c r="A60" s="88">
        <v>1058</v>
      </c>
      <c r="B60" s="88" t="s">
        <v>131</v>
      </c>
      <c r="C60" s="88" t="s">
        <v>139</v>
      </c>
      <c r="D60" s="96">
        <v>1599</v>
      </c>
    </row>
    <row r="61" spans="1:4" ht="11.25">
      <c r="A61" s="88">
        <v>1059</v>
      </c>
      <c r="B61" s="89" t="s">
        <v>132</v>
      </c>
      <c r="C61" s="88" t="s">
        <v>133</v>
      </c>
      <c r="D61" s="96">
        <v>300</v>
      </c>
    </row>
    <row r="62" spans="1:4" ht="11.25">
      <c r="A62" s="88">
        <v>1060</v>
      </c>
      <c r="B62" s="88" t="s">
        <v>131</v>
      </c>
      <c r="C62" s="88" t="s">
        <v>139</v>
      </c>
      <c r="D62" s="96">
        <v>1320</v>
      </c>
    </row>
    <row r="63" spans="1:4" ht="11.25">
      <c r="A63" s="88">
        <v>1061</v>
      </c>
      <c r="B63" s="88" t="s">
        <v>129</v>
      </c>
      <c r="C63" s="88" t="s">
        <v>130</v>
      </c>
      <c r="D63" s="96">
        <v>583</v>
      </c>
    </row>
    <row r="64" spans="1:4" ht="11.25">
      <c r="A64" s="88">
        <v>1062</v>
      </c>
      <c r="B64" s="88" t="s">
        <v>106</v>
      </c>
      <c r="C64" s="88" t="s">
        <v>136</v>
      </c>
      <c r="D64" s="96">
        <v>699</v>
      </c>
    </row>
    <row r="65" spans="1:4" ht="11.25">
      <c r="A65" s="88">
        <v>1063</v>
      </c>
      <c r="B65" s="88" t="s">
        <v>131</v>
      </c>
      <c r="C65" s="88" t="s">
        <v>128</v>
      </c>
      <c r="D65" s="96">
        <v>1450</v>
      </c>
    </row>
    <row r="66" spans="1:4" ht="11.25">
      <c r="A66" s="88">
        <v>1064</v>
      </c>
      <c r="B66" s="88" t="s">
        <v>106</v>
      </c>
      <c r="C66" s="88" t="s">
        <v>141</v>
      </c>
      <c r="D66" s="96">
        <v>499</v>
      </c>
    </row>
    <row r="67" spans="1:4" ht="11.25">
      <c r="A67" s="88">
        <v>1065</v>
      </c>
      <c r="B67" s="88" t="s">
        <v>139</v>
      </c>
      <c r="C67" s="88" t="s">
        <v>134</v>
      </c>
      <c r="D67" s="96">
        <v>399</v>
      </c>
    </row>
    <row r="68" spans="1:4" ht="11.25">
      <c r="A68" s="88">
        <v>1066</v>
      </c>
      <c r="B68" s="88" t="s">
        <v>129</v>
      </c>
      <c r="C68" s="88" t="s">
        <v>142</v>
      </c>
      <c r="D68" s="96">
        <v>732</v>
      </c>
    </row>
    <row r="69" spans="1:4" ht="11.25">
      <c r="A69" s="88">
        <v>1067</v>
      </c>
      <c r="B69" s="89" t="s">
        <v>132</v>
      </c>
      <c r="C69" s="88" t="s">
        <v>141</v>
      </c>
      <c r="D69" s="96">
        <v>1105</v>
      </c>
    </row>
    <row r="70" spans="1:4" ht="11.25">
      <c r="A70" s="88">
        <v>1068</v>
      </c>
      <c r="B70" s="88" t="s">
        <v>106</v>
      </c>
      <c r="C70" s="88" t="s">
        <v>136</v>
      </c>
      <c r="D70" s="96">
        <v>722</v>
      </c>
    </row>
    <row r="71" spans="1:4" ht="11.25">
      <c r="A71" s="88">
        <v>1069</v>
      </c>
      <c r="B71" s="88" t="s">
        <v>132</v>
      </c>
      <c r="C71" s="88" t="s">
        <v>106</v>
      </c>
      <c r="D71" s="96">
        <v>1250</v>
      </c>
    </row>
    <row r="72" spans="1:4" ht="11.25">
      <c r="A72" s="88">
        <v>1070</v>
      </c>
      <c r="B72" s="88" t="s">
        <v>131</v>
      </c>
      <c r="C72" s="88" t="s">
        <v>134</v>
      </c>
      <c r="D72" s="96">
        <v>975</v>
      </c>
    </row>
    <row r="73" spans="1:4" ht="11.25">
      <c r="A73" s="88">
        <v>1071</v>
      </c>
      <c r="B73" s="88" t="s">
        <v>129</v>
      </c>
      <c r="C73" s="88" t="s">
        <v>142</v>
      </c>
      <c r="D73" s="96">
        <v>899</v>
      </c>
    </row>
    <row r="74" spans="1:4" ht="11.25">
      <c r="A74" s="88">
        <v>1072</v>
      </c>
      <c r="B74" s="88" t="s">
        <v>129</v>
      </c>
      <c r="C74" s="88" t="s">
        <v>143</v>
      </c>
      <c r="D74" s="96">
        <v>725</v>
      </c>
    </row>
    <row r="75" spans="1:4" ht="11.25">
      <c r="A75" s="88">
        <v>1073</v>
      </c>
      <c r="B75" s="88" t="s">
        <v>129</v>
      </c>
      <c r="C75" s="88" t="s">
        <v>143</v>
      </c>
      <c r="D75" s="96">
        <v>329</v>
      </c>
    </row>
    <row r="76" spans="1:4" ht="11.25">
      <c r="A76" s="88">
        <v>1074</v>
      </c>
      <c r="B76" s="88" t="s">
        <v>132</v>
      </c>
      <c r="C76" s="88" t="s">
        <v>106</v>
      </c>
      <c r="D76" s="96">
        <v>650</v>
      </c>
    </row>
    <row r="77" spans="1:4" ht="11.25">
      <c r="A77" s="88">
        <v>1075</v>
      </c>
      <c r="B77" s="89" t="s">
        <v>132</v>
      </c>
      <c r="C77" s="88" t="s">
        <v>142</v>
      </c>
      <c r="D77" s="96">
        <v>499</v>
      </c>
    </row>
    <row r="78" spans="1:4" ht="11.25">
      <c r="A78" s="88">
        <v>1076</v>
      </c>
      <c r="B78" s="89" t="s">
        <v>132</v>
      </c>
      <c r="C78" s="88" t="s">
        <v>133</v>
      </c>
      <c r="D78" s="96">
        <v>300</v>
      </c>
    </row>
    <row r="79" spans="1:4" ht="11.25">
      <c r="A79" s="88">
        <v>1077</v>
      </c>
      <c r="B79" s="88" t="s">
        <v>131</v>
      </c>
      <c r="C79" s="88" t="s">
        <v>142</v>
      </c>
      <c r="D79" s="96">
        <v>1850</v>
      </c>
    </row>
    <row r="80" spans="1:4" ht="11.25">
      <c r="A80" s="88">
        <v>1078</v>
      </c>
      <c r="B80" s="89" t="s">
        <v>132</v>
      </c>
      <c r="C80" s="88" t="s">
        <v>143</v>
      </c>
      <c r="D80" s="96">
        <v>999</v>
      </c>
    </row>
    <row r="81" spans="1:4" ht="11.25">
      <c r="A81" s="88">
        <v>1079</v>
      </c>
      <c r="B81" s="88" t="s">
        <v>131</v>
      </c>
      <c r="C81" s="88" t="s">
        <v>133</v>
      </c>
      <c r="D81" s="96">
        <v>2250</v>
      </c>
    </row>
    <row r="82" spans="1:4" ht="11.25">
      <c r="A82" s="88">
        <v>1080</v>
      </c>
      <c r="B82" s="88" t="s">
        <v>139</v>
      </c>
      <c r="C82" s="88" t="s">
        <v>106</v>
      </c>
      <c r="D82" s="96">
        <v>459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F9"/>
  <sheetViews>
    <sheetView zoomScalePageLayoutView="0" workbookViewId="0" topLeftCell="A1">
      <selection activeCell="H20" sqref="H20:H21"/>
    </sheetView>
  </sheetViews>
  <sheetFormatPr defaultColWidth="9.140625" defaultRowHeight="12.75"/>
  <cols>
    <col min="1" max="1" width="14.00390625" style="0" bestFit="1" customWidth="1"/>
    <col min="2" max="3" width="12.00390625" style="0" bestFit="1" customWidth="1"/>
    <col min="4" max="8" width="8.8515625" style="0" bestFit="1" customWidth="1"/>
    <col min="9" max="9" width="10.421875" style="0" bestFit="1" customWidth="1"/>
  </cols>
  <sheetData>
    <row r="1" spans="1:3" ht="12.75">
      <c r="A1" s="90" t="s">
        <v>117</v>
      </c>
      <c r="B1" s="90" t="s">
        <v>144</v>
      </c>
      <c r="C1" s="90" t="s">
        <v>145</v>
      </c>
    </row>
    <row r="2" spans="1:6" ht="15.75">
      <c r="A2" s="4">
        <v>1</v>
      </c>
      <c r="B2" s="5">
        <v>0</v>
      </c>
      <c r="C2" s="5">
        <v>15</v>
      </c>
      <c r="F2" s="91"/>
    </row>
    <row r="3" spans="1:3" ht="12.75">
      <c r="A3" s="4">
        <v>1</v>
      </c>
      <c r="B3" s="92">
        <v>200</v>
      </c>
      <c r="C3" s="92">
        <v>25</v>
      </c>
    </row>
    <row r="4" spans="1:3" ht="12.75">
      <c r="A4" s="4">
        <v>1</v>
      </c>
      <c r="B4" s="92">
        <v>300</v>
      </c>
      <c r="C4" s="92">
        <v>35</v>
      </c>
    </row>
    <row r="5" spans="1:3" ht="12.75">
      <c r="A5" s="4">
        <v>2</v>
      </c>
      <c r="B5" s="92">
        <v>400</v>
      </c>
      <c r="C5" s="92">
        <v>40</v>
      </c>
    </row>
    <row r="6" spans="1:3" ht="12.75">
      <c r="A6" s="4">
        <v>2</v>
      </c>
      <c r="B6" s="92">
        <v>500</v>
      </c>
      <c r="C6" s="92">
        <v>50</v>
      </c>
    </row>
    <row r="7" spans="1:3" ht="12.75">
      <c r="A7" s="4">
        <v>2</v>
      </c>
      <c r="B7" s="92">
        <v>600</v>
      </c>
      <c r="C7" s="92">
        <v>55</v>
      </c>
    </row>
    <row r="8" spans="1:3" ht="12.75">
      <c r="A8" s="4">
        <v>3</v>
      </c>
      <c r="B8" s="92">
        <v>800</v>
      </c>
      <c r="C8" s="92">
        <v>60</v>
      </c>
    </row>
    <row r="9" spans="1:3" ht="12.75">
      <c r="A9" s="4">
        <v>3</v>
      </c>
      <c r="B9" s="92">
        <v>1000</v>
      </c>
      <c r="C9" s="92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93" t="s">
        <v>146</v>
      </c>
      <c r="B1" s="93"/>
      <c r="C1" s="93"/>
      <c r="D1" s="93"/>
      <c r="F1" s="21" t="s">
        <v>150</v>
      </c>
      <c r="G1" s="21"/>
      <c r="H1" s="21"/>
    </row>
    <row r="2" spans="1:8" ht="12.75">
      <c r="A2" s="4"/>
      <c r="B2" s="94" t="s">
        <v>117</v>
      </c>
      <c r="C2" s="4"/>
      <c r="D2" s="4"/>
      <c r="F2" s="97" t="s">
        <v>147</v>
      </c>
      <c r="G2" s="97" t="s">
        <v>148</v>
      </c>
      <c r="H2" s="97" t="s">
        <v>149</v>
      </c>
    </row>
    <row r="3" spans="1:8" ht="12.75">
      <c r="A3" s="95" t="s">
        <v>116</v>
      </c>
      <c r="B3" s="3">
        <v>1</v>
      </c>
      <c r="C3" s="3">
        <v>2</v>
      </c>
      <c r="D3" s="3">
        <v>3</v>
      </c>
      <c r="F3" s="4">
        <v>0.4</v>
      </c>
      <c r="G3" s="4">
        <v>0.55</v>
      </c>
      <c r="H3" s="4">
        <v>0.65</v>
      </c>
    </row>
    <row r="4" spans="1:4" ht="12.75">
      <c r="A4" s="4">
        <v>1</v>
      </c>
      <c r="B4" s="97" t="s">
        <v>147</v>
      </c>
      <c r="C4" s="97" t="s">
        <v>147</v>
      </c>
      <c r="D4" s="97" t="s">
        <v>148</v>
      </c>
    </row>
    <row r="5" spans="1:4" ht="12.75">
      <c r="A5" s="4">
        <v>2</v>
      </c>
      <c r="B5" s="97" t="s">
        <v>148</v>
      </c>
      <c r="C5" s="97" t="s">
        <v>148</v>
      </c>
      <c r="D5" s="97" t="s">
        <v>149</v>
      </c>
    </row>
    <row r="6" spans="1:4" ht="12.75">
      <c r="A6" s="4">
        <v>3</v>
      </c>
      <c r="B6" s="97" t="s">
        <v>148</v>
      </c>
      <c r="C6" s="97" t="s">
        <v>148</v>
      </c>
      <c r="D6" s="97" t="s">
        <v>149</v>
      </c>
    </row>
    <row r="7" spans="1:4" ht="12.75">
      <c r="A7" s="4">
        <v>4</v>
      </c>
      <c r="B7" s="97" t="s">
        <v>148</v>
      </c>
      <c r="C7" s="97" t="s">
        <v>148</v>
      </c>
      <c r="D7" s="97" t="s">
        <v>149</v>
      </c>
    </row>
    <row r="8" spans="1:4" ht="12.75">
      <c r="A8" s="4">
        <v>5</v>
      </c>
      <c r="B8" s="97" t="s">
        <v>147</v>
      </c>
      <c r="C8" s="97" t="s">
        <v>147</v>
      </c>
      <c r="D8" s="97" t="s">
        <v>147</v>
      </c>
    </row>
    <row r="9" spans="1:4" ht="12.75">
      <c r="A9" s="4">
        <v>6</v>
      </c>
      <c r="B9" s="97" t="s">
        <v>148</v>
      </c>
      <c r="C9" s="97" t="s">
        <v>149</v>
      </c>
      <c r="D9" s="97" t="s">
        <v>149</v>
      </c>
    </row>
    <row r="10" spans="1:4" ht="12.75">
      <c r="A10" s="4">
        <v>7</v>
      </c>
      <c r="B10" s="97" t="s">
        <v>147</v>
      </c>
      <c r="C10" s="97" t="s">
        <v>147</v>
      </c>
      <c r="D10" s="97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8"/>
  <sheetViews>
    <sheetView zoomScale="70" zoomScaleNormal="70" zoomScalePageLayoutView="0" workbookViewId="0" topLeftCell="A1">
      <selection activeCell="J10" sqref="J10"/>
    </sheetView>
  </sheetViews>
  <sheetFormatPr defaultColWidth="9.140625" defaultRowHeight="12.75"/>
  <cols>
    <col min="6" max="6" width="9.28125" style="0" bestFit="1" customWidth="1"/>
    <col min="12" max="12" width="2.140625" style="0" customWidth="1"/>
  </cols>
  <sheetData>
    <row r="1" spans="1:11" ht="21" customHeight="1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0" ht="25.5">
      <c r="A4" s="12" t="s">
        <v>15</v>
      </c>
      <c r="B4" s="12" t="s">
        <v>16</v>
      </c>
      <c r="C4" s="12" t="s">
        <v>17</v>
      </c>
      <c r="D4" s="12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7</v>
      </c>
      <c r="J4" s="11" t="s">
        <v>23</v>
      </c>
    </row>
    <row r="5" spans="1:10" ht="12.75">
      <c r="A5" s="4">
        <v>1</v>
      </c>
      <c r="B5" s="3" t="s">
        <v>33</v>
      </c>
      <c r="C5" s="3" t="s">
        <v>8</v>
      </c>
      <c r="D5" s="4">
        <v>312</v>
      </c>
      <c r="E5" s="5">
        <f aca="true" t="shared" si="0" ref="E5:E10">VLOOKUP(D5,A$15:B$18,2)</f>
        <v>2</v>
      </c>
      <c r="F5" s="5">
        <f aca="true" t="shared" si="1" ref="F5:F10">ROUND(E5*D5,2)</f>
        <v>624</v>
      </c>
      <c r="G5" s="5">
        <f aca="true" t="shared" si="2" ref="G5:G10">VLOOKUP(C5,D$15:E$18,2,0)</f>
        <v>0.2</v>
      </c>
      <c r="H5" s="5">
        <f aca="true" t="shared" si="3" ref="H5:H10">ROUND(G5*D5,2)</f>
        <v>62.4</v>
      </c>
      <c r="I5" s="5">
        <f aca="true" t="shared" si="4" ref="I5:I10">-HLOOKUP(F5,I$14:K$16,M$16)*H5</f>
        <v>-6.24</v>
      </c>
      <c r="J5" s="5">
        <f aca="true" t="shared" si="5" ref="J5:J10">SUM(H5:I5,F5)</f>
        <v>680.16</v>
      </c>
    </row>
    <row r="6" spans="1:10" ht="12.75">
      <c r="A6" s="4">
        <v>2</v>
      </c>
      <c r="B6" s="3" t="s">
        <v>25</v>
      </c>
      <c r="C6" s="3" t="s">
        <v>14</v>
      </c>
      <c r="D6" s="4">
        <v>36</v>
      </c>
      <c r="E6" s="5">
        <f t="shared" si="0"/>
        <v>2.85</v>
      </c>
      <c r="F6" s="5">
        <f t="shared" si="1"/>
        <v>102.6</v>
      </c>
      <c r="G6" s="5">
        <f t="shared" si="2"/>
        <v>0</v>
      </c>
      <c r="H6" s="5">
        <f t="shared" si="3"/>
        <v>0</v>
      </c>
      <c r="I6" s="5">
        <f t="shared" si="4"/>
        <v>0</v>
      </c>
      <c r="J6" s="5">
        <f t="shared" si="5"/>
        <v>102.6</v>
      </c>
    </row>
    <row r="7" spans="1:10" ht="12.75">
      <c r="A7" s="4">
        <v>3</v>
      </c>
      <c r="B7" s="3" t="s">
        <v>34</v>
      </c>
      <c r="C7" s="3" t="s">
        <v>12</v>
      </c>
      <c r="D7" s="4">
        <v>132</v>
      </c>
      <c r="E7" s="5">
        <f t="shared" si="0"/>
        <v>2.27</v>
      </c>
      <c r="F7" s="5">
        <f t="shared" si="1"/>
        <v>299.64</v>
      </c>
      <c r="G7" s="5">
        <f t="shared" si="2"/>
        <v>0.12</v>
      </c>
      <c r="H7" s="5">
        <f t="shared" si="3"/>
        <v>15.84</v>
      </c>
      <c r="I7" s="5">
        <f t="shared" si="4"/>
        <v>0</v>
      </c>
      <c r="J7" s="5">
        <f t="shared" si="5"/>
        <v>315.47999999999996</v>
      </c>
    </row>
    <row r="8" spans="1:10" ht="12.75">
      <c r="A8" s="4">
        <v>4</v>
      </c>
      <c r="B8" s="3" t="s">
        <v>35</v>
      </c>
      <c r="C8" s="3" t="s">
        <v>12</v>
      </c>
      <c r="D8" s="4">
        <v>96</v>
      </c>
      <c r="E8" s="5">
        <f t="shared" si="0"/>
        <v>2.63</v>
      </c>
      <c r="F8" s="5">
        <f t="shared" si="1"/>
        <v>252.48</v>
      </c>
      <c r="G8" s="5">
        <f t="shared" si="2"/>
        <v>0.12</v>
      </c>
      <c r="H8" s="5">
        <f t="shared" si="3"/>
        <v>11.52</v>
      </c>
      <c r="I8" s="5">
        <f t="shared" si="4"/>
        <v>0</v>
      </c>
      <c r="J8" s="5">
        <f t="shared" si="5"/>
        <v>264</v>
      </c>
    </row>
    <row r="9" spans="1:10" ht="12.75">
      <c r="A9" s="4">
        <v>5</v>
      </c>
      <c r="B9" s="3" t="s">
        <v>36</v>
      </c>
      <c r="C9" s="3" t="s">
        <v>8</v>
      </c>
      <c r="D9" s="4">
        <v>192</v>
      </c>
      <c r="E9" s="5">
        <f t="shared" si="0"/>
        <v>2.27</v>
      </c>
      <c r="F9" s="5">
        <f t="shared" si="1"/>
        <v>435.84</v>
      </c>
      <c r="G9" s="5">
        <f t="shared" si="2"/>
        <v>0.2</v>
      </c>
      <c r="H9" s="5">
        <f t="shared" si="3"/>
        <v>38.4</v>
      </c>
      <c r="I9" s="5">
        <f t="shared" si="4"/>
        <v>-3.84</v>
      </c>
      <c r="J9" s="5">
        <f t="shared" si="5"/>
        <v>470.4</v>
      </c>
    </row>
    <row r="10" spans="1:10" ht="12.75">
      <c r="A10" s="4">
        <v>6</v>
      </c>
      <c r="B10" s="3" t="s">
        <v>37</v>
      </c>
      <c r="C10" s="3" t="s">
        <v>10</v>
      </c>
      <c r="D10" s="4">
        <v>12</v>
      </c>
      <c r="E10" s="5">
        <f t="shared" si="0"/>
        <v>2.85</v>
      </c>
      <c r="F10" s="5">
        <f t="shared" si="1"/>
        <v>34.2</v>
      </c>
      <c r="G10" s="5">
        <f t="shared" si="2"/>
        <v>0.18</v>
      </c>
      <c r="H10" s="5">
        <f t="shared" si="3"/>
        <v>2.16</v>
      </c>
      <c r="I10" s="5">
        <f t="shared" si="4"/>
        <v>0</v>
      </c>
      <c r="J10" s="5">
        <f t="shared" si="5"/>
        <v>36.36</v>
      </c>
    </row>
    <row r="12" spans="1:11" ht="12.75">
      <c r="A12" s="9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 customHeight="1">
      <c r="A13" s="117" t="s">
        <v>2</v>
      </c>
      <c r="B13" s="118"/>
      <c r="D13" s="22" t="s">
        <v>3</v>
      </c>
      <c r="E13" s="23"/>
      <c r="G13" s="23" t="s">
        <v>7</v>
      </c>
      <c r="H13" s="23"/>
      <c r="I13" s="23"/>
      <c r="J13" s="23"/>
      <c r="K13" s="23"/>
    </row>
    <row r="14" spans="1:13" ht="12.75">
      <c r="A14" s="3" t="s">
        <v>4</v>
      </c>
      <c r="B14" s="3" t="s">
        <v>5</v>
      </c>
      <c r="D14" s="3" t="s">
        <v>6</v>
      </c>
      <c r="E14" s="3" t="s">
        <v>5</v>
      </c>
      <c r="G14" s="119" t="s">
        <v>20</v>
      </c>
      <c r="H14" s="120"/>
      <c r="I14" s="4">
        <v>0</v>
      </c>
      <c r="J14" s="4">
        <v>400</v>
      </c>
      <c r="K14" s="4">
        <v>1200</v>
      </c>
      <c r="M14" s="4">
        <v>1</v>
      </c>
    </row>
    <row r="15" spans="1:13" ht="12.75">
      <c r="A15" s="4">
        <v>0</v>
      </c>
      <c r="B15" s="5">
        <v>2.85</v>
      </c>
      <c r="D15" s="4" t="s">
        <v>10</v>
      </c>
      <c r="E15" s="5">
        <v>0.18</v>
      </c>
      <c r="G15" s="116" t="s">
        <v>11</v>
      </c>
      <c r="H15" s="116"/>
      <c r="I15" s="18">
        <v>0</v>
      </c>
      <c r="J15" s="18">
        <v>0.15</v>
      </c>
      <c r="K15" s="18">
        <v>0.25</v>
      </c>
      <c r="M15" s="14">
        <v>2</v>
      </c>
    </row>
    <row r="16" spans="1:13" ht="12.75">
      <c r="A16" s="4">
        <v>48</v>
      </c>
      <c r="B16" s="5">
        <v>2.63</v>
      </c>
      <c r="D16" s="4" t="s">
        <v>8</v>
      </c>
      <c r="E16" s="5">
        <v>0.2</v>
      </c>
      <c r="G16" s="116" t="s">
        <v>13</v>
      </c>
      <c r="H16" s="116"/>
      <c r="I16" s="18">
        <v>0</v>
      </c>
      <c r="J16" s="18">
        <v>0.1</v>
      </c>
      <c r="K16" s="18">
        <v>0.2</v>
      </c>
      <c r="M16" s="14">
        <v>3</v>
      </c>
    </row>
    <row r="17" spans="1:5" ht="12.75">
      <c r="A17" s="4">
        <v>108</v>
      </c>
      <c r="B17" s="5">
        <v>2.27</v>
      </c>
      <c r="D17" s="4" t="s">
        <v>12</v>
      </c>
      <c r="E17" s="5">
        <v>0.12</v>
      </c>
    </row>
    <row r="18" spans="1:5" ht="12.75">
      <c r="A18" s="4">
        <v>216</v>
      </c>
      <c r="B18" s="5">
        <v>2</v>
      </c>
      <c r="D18" s="4" t="s">
        <v>14</v>
      </c>
      <c r="E18" s="5">
        <v>0</v>
      </c>
    </row>
  </sheetData>
  <sheetProtection/>
  <mergeCells count="4">
    <mergeCell ref="G16:H16"/>
    <mergeCell ref="A13:B13"/>
    <mergeCell ref="G14:H14"/>
    <mergeCell ref="G15:H1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23"/>
  <sheetViews>
    <sheetView zoomScale="70" zoomScaleNormal="70" zoomScalePageLayoutView="0" workbookViewId="0" topLeftCell="A1">
      <selection activeCell="F25" sqref="F25:F34"/>
    </sheetView>
  </sheetViews>
  <sheetFormatPr defaultColWidth="9.140625" defaultRowHeight="12.75"/>
  <cols>
    <col min="1" max="1" width="11.8515625" style="47" bestFit="1" customWidth="1"/>
    <col min="2" max="2" width="11.140625" style="47" customWidth="1"/>
    <col min="3" max="4" width="10.7109375" style="47" customWidth="1"/>
    <col min="5" max="5" width="11.28125" style="47" customWidth="1"/>
    <col min="6" max="6" width="11.28125" style="47" bestFit="1" customWidth="1"/>
    <col min="7" max="7" width="11.7109375" style="47" customWidth="1"/>
    <col min="8" max="8" width="12.7109375" style="47" bestFit="1" customWidth="1"/>
    <col min="9" max="9" width="9.57421875" style="47" bestFit="1" customWidth="1"/>
    <col min="10" max="10" width="10.7109375" style="47" customWidth="1"/>
    <col min="11" max="11" width="10.57421875" style="47" customWidth="1"/>
    <col min="12" max="12" width="8.421875" style="47" bestFit="1" customWidth="1"/>
    <col min="13" max="13" width="9.00390625" style="47" customWidth="1"/>
    <col min="14" max="14" width="9.140625" style="47" customWidth="1"/>
    <col min="15" max="15" width="11.00390625" style="47" customWidth="1"/>
    <col min="16" max="16384" width="9.140625" style="47" customWidth="1"/>
  </cols>
  <sheetData>
    <row r="1" spans="1:12" ht="15.75">
      <c r="A1" s="44" t="s">
        <v>79</v>
      </c>
      <c r="B1" s="45"/>
      <c r="C1" s="45"/>
      <c r="D1" s="45"/>
      <c r="E1" s="45"/>
      <c r="F1" s="46"/>
      <c r="H1" s="121" t="s">
        <v>80</v>
      </c>
      <c r="I1" s="121"/>
      <c r="J1" s="48"/>
      <c r="K1" s="48"/>
      <c r="L1" s="48"/>
    </row>
    <row r="2" spans="1:12" ht="12.75">
      <c r="A2" s="49" t="s">
        <v>81</v>
      </c>
      <c r="B2" s="50">
        <v>0</v>
      </c>
      <c r="C2" s="51">
        <v>15000</v>
      </c>
      <c r="D2" s="51">
        <v>32000</v>
      </c>
      <c r="E2" s="51">
        <v>72000</v>
      </c>
      <c r="F2" s="51">
        <v>122000</v>
      </c>
      <c r="H2" s="52" t="s">
        <v>82</v>
      </c>
      <c r="I2" s="53" t="s">
        <v>83</v>
      </c>
      <c r="J2" s="48"/>
      <c r="K2" s="48"/>
      <c r="L2" s="48"/>
    </row>
    <row r="3" spans="1:12" ht="12.75">
      <c r="A3" s="49" t="s">
        <v>84</v>
      </c>
      <c r="B3" s="54">
        <v>0</v>
      </c>
      <c r="C3" s="54">
        <v>0.03</v>
      </c>
      <c r="D3" s="54">
        <v>0.1</v>
      </c>
      <c r="E3" s="54">
        <v>0.15</v>
      </c>
      <c r="F3" s="54">
        <v>0.22</v>
      </c>
      <c r="H3" s="50">
        <v>0</v>
      </c>
      <c r="I3" s="53">
        <v>0</v>
      </c>
      <c r="J3" s="48"/>
      <c r="K3" s="48"/>
      <c r="L3" s="48"/>
    </row>
    <row r="4" spans="1:12" ht="12.75">
      <c r="A4" s="49" t="s">
        <v>85</v>
      </c>
      <c r="B4" s="54">
        <v>0</v>
      </c>
      <c r="C4" s="54">
        <v>0.05</v>
      </c>
      <c r="D4" s="54">
        <v>0.07</v>
      </c>
      <c r="E4" s="54">
        <v>0.11</v>
      </c>
      <c r="F4" s="54">
        <v>0.2</v>
      </c>
      <c r="H4" s="55">
        <v>100</v>
      </c>
      <c r="I4" s="54">
        <v>0.05</v>
      </c>
      <c r="J4" s="56"/>
      <c r="K4" s="56"/>
      <c r="L4" s="48"/>
    </row>
    <row r="5" spans="8:12" ht="12.75">
      <c r="H5" s="55">
        <v>1000</v>
      </c>
      <c r="I5" s="54">
        <v>0.1</v>
      </c>
      <c r="J5" s="56"/>
      <c r="K5" s="56"/>
      <c r="L5" s="48"/>
    </row>
    <row r="6" spans="1:12" ht="12.75">
      <c r="A6" s="57" t="s">
        <v>86</v>
      </c>
      <c r="B6" s="53" t="s">
        <v>87</v>
      </c>
      <c r="H6" s="55">
        <v>5000</v>
      </c>
      <c r="I6" s="54">
        <v>0.15</v>
      </c>
      <c r="J6" s="56"/>
      <c r="K6" s="56"/>
      <c r="L6" s="48"/>
    </row>
    <row r="7" spans="1:12" ht="12.75">
      <c r="A7" s="57" t="s">
        <v>88</v>
      </c>
      <c r="B7" s="58">
        <v>600</v>
      </c>
      <c r="H7" s="55">
        <v>10000</v>
      </c>
      <c r="I7" s="54">
        <v>0.2</v>
      </c>
      <c r="J7" s="56"/>
      <c r="K7" s="56"/>
      <c r="L7" s="48"/>
    </row>
    <row r="8" spans="1:12" ht="12.75">
      <c r="A8" s="57" t="s">
        <v>89</v>
      </c>
      <c r="B8" s="50">
        <v>900</v>
      </c>
      <c r="H8" s="55">
        <v>50000</v>
      </c>
      <c r="I8" s="54">
        <v>0.25</v>
      </c>
      <c r="J8" s="56"/>
      <c r="K8" s="56"/>
      <c r="L8" s="48"/>
    </row>
    <row r="9" spans="1:11" ht="12.75">
      <c r="A9" s="57" t="s">
        <v>90</v>
      </c>
      <c r="B9" s="58">
        <v>400</v>
      </c>
      <c r="H9" s="48"/>
      <c r="I9" s="56"/>
      <c r="J9" s="56"/>
      <c r="K9" s="56"/>
    </row>
    <row r="11" spans="1:15" ht="51">
      <c r="A11" s="59" t="s">
        <v>91</v>
      </c>
      <c r="B11" s="60" t="s">
        <v>92</v>
      </c>
      <c r="C11" s="60" t="s">
        <v>93</v>
      </c>
      <c r="D11" s="60" t="s">
        <v>94</v>
      </c>
      <c r="E11" s="60" t="s">
        <v>95</v>
      </c>
      <c r="F11" s="60" t="s">
        <v>96</v>
      </c>
      <c r="G11" s="60" t="s">
        <v>97</v>
      </c>
      <c r="H11" s="60" t="s">
        <v>98</v>
      </c>
      <c r="I11" s="60" t="s">
        <v>99</v>
      </c>
      <c r="J11" s="61" t="s">
        <v>100</v>
      </c>
      <c r="K11" s="61" t="s">
        <v>101</v>
      </c>
      <c r="L11" s="60" t="s">
        <v>102</v>
      </c>
      <c r="M11" s="60" t="s">
        <v>103</v>
      </c>
      <c r="N11" s="60" t="s">
        <v>104</v>
      </c>
      <c r="O11" s="61" t="s">
        <v>105</v>
      </c>
    </row>
    <row r="12" spans="1:15" ht="12.75">
      <c r="A12" s="53">
        <v>1</v>
      </c>
      <c r="B12" s="58">
        <v>88865</v>
      </c>
      <c r="C12" s="62" t="s">
        <v>88</v>
      </c>
      <c r="D12" s="58">
        <v>14999</v>
      </c>
      <c r="E12" s="63">
        <v>0</v>
      </c>
      <c r="F12" s="74">
        <v>14422</v>
      </c>
      <c r="G12" s="72">
        <f aca="true" t="shared" si="0" ref="G12:G21">ROUND(HLOOKUP($B12,$B$2:$F$4,COLUMN(A1)+1)*$B12,0)</f>
        <v>13330</v>
      </c>
      <c r="H12" s="72">
        <f aca="true" t="shared" si="1" ref="H12:H21">ROUND(HLOOKUP($B12,$B$2:$F$4,COLUMN(B1)+1)*$B12,0)</f>
        <v>9775</v>
      </c>
      <c r="I12" s="64">
        <f aca="true" t="shared" si="2" ref="I12:I21">F12-SUM($D12:$E12)</f>
        <v>-577</v>
      </c>
      <c r="J12" s="64">
        <f aca="true" t="shared" si="3" ref="J12:J21">G12-SUM($D12:$E12)</f>
        <v>-1669</v>
      </c>
      <c r="K12" s="64">
        <f aca="true" t="shared" si="4" ref="K12:K21">H12-SUM($D12:$E12)</f>
        <v>-5224</v>
      </c>
      <c r="L12" s="65">
        <f aca="true" t="shared" si="5" ref="L12:L21">IF(I12&lt;0,0,VLOOKUP(I12,$H$3:$I$8,2)*I12)</f>
        <v>0</v>
      </c>
      <c r="M12" s="66">
        <f aca="true" t="shared" si="6" ref="M12:M21">IF(J12&lt;0,0,VLOOKUP(J12,$H$3:$I$8,2)*J12)</f>
        <v>0</v>
      </c>
      <c r="N12" s="66">
        <f aca="true" t="shared" si="7" ref="N12:N21">IF(K12&lt;0,0,VLOOKUP(K12,$H$3:$I$8,2)*K12)</f>
        <v>0</v>
      </c>
      <c r="O12" s="67">
        <f aca="true" t="shared" si="8" ref="O12:O20">VLOOKUP(C12,$A$7:$B$9,2,0)</f>
        <v>600</v>
      </c>
    </row>
    <row r="13" spans="1:15" ht="12.75">
      <c r="A13" s="53">
        <v>2</v>
      </c>
      <c r="B13" s="58">
        <v>89263</v>
      </c>
      <c r="C13" s="62" t="s">
        <v>89</v>
      </c>
      <c r="D13" s="55">
        <v>16423</v>
      </c>
      <c r="E13" s="68">
        <v>0</v>
      </c>
      <c r="F13" s="75">
        <v>14534</v>
      </c>
      <c r="G13" s="73">
        <f t="shared" si="0"/>
        <v>13389</v>
      </c>
      <c r="H13" s="73">
        <f t="shared" si="1"/>
        <v>9819</v>
      </c>
      <c r="I13" s="64">
        <f t="shared" si="2"/>
        <v>-1889</v>
      </c>
      <c r="J13" s="69">
        <f t="shared" si="3"/>
        <v>-3034</v>
      </c>
      <c r="K13" s="69">
        <f t="shared" si="4"/>
        <v>-6604</v>
      </c>
      <c r="L13" s="65">
        <f t="shared" si="5"/>
        <v>0</v>
      </c>
      <c r="M13" s="65">
        <f t="shared" si="6"/>
        <v>0</v>
      </c>
      <c r="N13" s="65">
        <f t="shared" si="7"/>
        <v>0</v>
      </c>
      <c r="O13" s="65">
        <f t="shared" si="8"/>
        <v>900</v>
      </c>
    </row>
    <row r="14" spans="1:15" ht="12.75">
      <c r="A14" s="53">
        <v>3</v>
      </c>
      <c r="B14" s="58">
        <v>54794</v>
      </c>
      <c r="C14" s="62" t="s">
        <v>90</v>
      </c>
      <c r="D14" s="55">
        <v>6384</v>
      </c>
      <c r="E14" s="68">
        <v>0</v>
      </c>
      <c r="F14" s="75">
        <v>6259</v>
      </c>
      <c r="G14" s="73">
        <f t="shared" si="0"/>
        <v>5479</v>
      </c>
      <c r="H14" s="73">
        <f t="shared" si="1"/>
        <v>3836</v>
      </c>
      <c r="I14" s="64">
        <f t="shared" si="2"/>
        <v>-125</v>
      </c>
      <c r="J14" s="69">
        <f t="shared" si="3"/>
        <v>-905</v>
      </c>
      <c r="K14" s="69">
        <f t="shared" si="4"/>
        <v>-2548</v>
      </c>
      <c r="L14" s="65">
        <f t="shared" si="5"/>
        <v>0</v>
      </c>
      <c r="M14" s="65">
        <f t="shared" si="6"/>
        <v>0</v>
      </c>
      <c r="N14" s="65">
        <f t="shared" si="7"/>
        <v>0</v>
      </c>
      <c r="O14" s="65">
        <f t="shared" si="8"/>
        <v>400</v>
      </c>
    </row>
    <row r="15" spans="1:15" ht="12.75">
      <c r="A15" s="53">
        <v>4</v>
      </c>
      <c r="B15" s="58">
        <v>364209</v>
      </c>
      <c r="C15" s="62" t="s">
        <v>106</v>
      </c>
      <c r="D15" s="55">
        <v>0</v>
      </c>
      <c r="E15" s="68">
        <v>93225</v>
      </c>
      <c r="F15" s="75">
        <v>103629</v>
      </c>
      <c r="G15" s="73">
        <f t="shared" si="0"/>
        <v>80126</v>
      </c>
      <c r="H15" s="73">
        <f t="shared" si="1"/>
        <v>72842</v>
      </c>
      <c r="I15" s="64">
        <f t="shared" si="2"/>
        <v>10404</v>
      </c>
      <c r="J15" s="69">
        <f t="shared" si="3"/>
        <v>-13099</v>
      </c>
      <c r="K15" s="69">
        <f t="shared" si="4"/>
        <v>-20383</v>
      </c>
      <c r="L15" s="65">
        <f t="shared" si="5"/>
        <v>2080.8</v>
      </c>
      <c r="M15" s="65">
        <f t="shared" si="6"/>
        <v>0</v>
      </c>
      <c r="N15" s="65">
        <f t="shared" si="7"/>
        <v>0</v>
      </c>
      <c r="O15" s="65" t="e">
        <f t="shared" si="8"/>
        <v>#N/A</v>
      </c>
    </row>
    <row r="16" spans="1:15" ht="12.75">
      <c r="A16" s="53">
        <v>5</v>
      </c>
      <c r="B16" s="58">
        <v>71468</v>
      </c>
      <c r="C16" s="62" t="s">
        <v>88</v>
      </c>
      <c r="D16" s="55">
        <v>9402</v>
      </c>
      <c r="E16" s="68">
        <v>0</v>
      </c>
      <c r="F16" s="75">
        <v>9594</v>
      </c>
      <c r="G16" s="73">
        <f t="shared" si="0"/>
        <v>7147</v>
      </c>
      <c r="H16" s="73">
        <f t="shared" si="1"/>
        <v>5003</v>
      </c>
      <c r="I16" s="64">
        <f t="shared" si="2"/>
        <v>192</v>
      </c>
      <c r="J16" s="69">
        <f t="shared" si="3"/>
        <v>-2255</v>
      </c>
      <c r="K16" s="69">
        <f t="shared" si="4"/>
        <v>-4399</v>
      </c>
      <c r="L16" s="65">
        <f t="shared" si="5"/>
        <v>9.600000000000001</v>
      </c>
      <c r="M16" s="65">
        <f t="shared" si="6"/>
        <v>0</v>
      </c>
      <c r="N16" s="65">
        <f t="shared" si="7"/>
        <v>0</v>
      </c>
      <c r="O16" s="65">
        <f t="shared" si="8"/>
        <v>600</v>
      </c>
    </row>
    <row r="17" spans="1:15" ht="12.75">
      <c r="A17" s="53">
        <v>6</v>
      </c>
      <c r="B17" s="58">
        <v>23500</v>
      </c>
      <c r="C17" s="62" t="s">
        <v>89</v>
      </c>
      <c r="D17" s="55">
        <v>1254</v>
      </c>
      <c r="E17" s="68">
        <v>0</v>
      </c>
      <c r="F17" s="75">
        <v>700</v>
      </c>
      <c r="G17" s="73">
        <f t="shared" si="0"/>
        <v>705</v>
      </c>
      <c r="H17" s="73">
        <f t="shared" si="1"/>
        <v>1175</v>
      </c>
      <c r="I17" s="64">
        <f t="shared" si="2"/>
        <v>-554</v>
      </c>
      <c r="J17" s="69">
        <f t="shared" si="3"/>
        <v>-549</v>
      </c>
      <c r="K17" s="69">
        <f t="shared" si="4"/>
        <v>-79</v>
      </c>
      <c r="L17" s="65">
        <f t="shared" si="5"/>
        <v>0</v>
      </c>
      <c r="M17" s="65">
        <f t="shared" si="6"/>
        <v>0</v>
      </c>
      <c r="N17" s="65">
        <f t="shared" si="7"/>
        <v>0</v>
      </c>
      <c r="O17" s="65">
        <f t="shared" si="8"/>
        <v>900</v>
      </c>
    </row>
    <row r="18" spans="1:15" ht="12.75">
      <c r="A18" s="53">
        <v>7</v>
      </c>
      <c r="B18" s="58">
        <v>324527</v>
      </c>
      <c r="C18" s="62" t="s">
        <v>90</v>
      </c>
      <c r="D18" s="55">
        <v>89629</v>
      </c>
      <c r="E18" s="68">
        <v>10864</v>
      </c>
      <c r="F18" s="75">
        <v>90534</v>
      </c>
      <c r="G18" s="73">
        <f t="shared" si="0"/>
        <v>71396</v>
      </c>
      <c r="H18" s="73">
        <f t="shared" si="1"/>
        <v>64905</v>
      </c>
      <c r="I18" s="64">
        <f t="shared" si="2"/>
        <v>-9959</v>
      </c>
      <c r="J18" s="69">
        <f t="shared" si="3"/>
        <v>-29097</v>
      </c>
      <c r="K18" s="69">
        <f t="shared" si="4"/>
        <v>-35588</v>
      </c>
      <c r="L18" s="65">
        <f t="shared" si="5"/>
        <v>0</v>
      </c>
      <c r="M18" s="65">
        <f t="shared" si="6"/>
        <v>0</v>
      </c>
      <c r="N18" s="65">
        <f t="shared" si="7"/>
        <v>0</v>
      </c>
      <c r="O18" s="65">
        <f t="shared" si="8"/>
        <v>400</v>
      </c>
    </row>
    <row r="19" spans="1:15" ht="12.75">
      <c r="A19" s="53">
        <v>8</v>
      </c>
      <c r="B19" s="58">
        <v>54935</v>
      </c>
      <c r="C19" s="62" t="s">
        <v>90</v>
      </c>
      <c r="D19" s="55">
        <v>0</v>
      </c>
      <c r="E19" s="68">
        <v>6161</v>
      </c>
      <c r="F19" s="75">
        <v>6287</v>
      </c>
      <c r="G19" s="73">
        <f t="shared" si="0"/>
        <v>5494</v>
      </c>
      <c r="H19" s="73">
        <f t="shared" si="1"/>
        <v>3845</v>
      </c>
      <c r="I19" s="64">
        <f t="shared" si="2"/>
        <v>126</v>
      </c>
      <c r="J19" s="69">
        <f t="shared" si="3"/>
        <v>-667</v>
      </c>
      <c r="K19" s="69">
        <f t="shared" si="4"/>
        <v>-2316</v>
      </c>
      <c r="L19" s="65">
        <f t="shared" si="5"/>
        <v>6.300000000000001</v>
      </c>
      <c r="M19" s="65">
        <f t="shared" si="6"/>
        <v>0</v>
      </c>
      <c r="N19" s="65">
        <f t="shared" si="7"/>
        <v>0</v>
      </c>
      <c r="O19" s="65">
        <f t="shared" si="8"/>
        <v>400</v>
      </c>
    </row>
    <row r="20" spans="1:15" ht="12.75">
      <c r="A20" s="53">
        <v>9</v>
      </c>
      <c r="B20" s="58">
        <v>99393</v>
      </c>
      <c r="C20" s="62" t="s">
        <v>90</v>
      </c>
      <c r="D20" s="55">
        <v>20844</v>
      </c>
      <c r="E20" s="68">
        <v>0</v>
      </c>
      <c r="F20" s="75">
        <v>17370</v>
      </c>
      <c r="G20" s="73">
        <f t="shared" si="0"/>
        <v>14909</v>
      </c>
      <c r="H20" s="73">
        <f t="shared" si="1"/>
        <v>10933</v>
      </c>
      <c r="I20" s="64">
        <f t="shared" si="2"/>
        <v>-3474</v>
      </c>
      <c r="J20" s="69">
        <f t="shared" si="3"/>
        <v>-5935</v>
      </c>
      <c r="K20" s="69">
        <f t="shared" si="4"/>
        <v>-9911</v>
      </c>
      <c r="L20" s="65">
        <f t="shared" si="5"/>
        <v>0</v>
      </c>
      <c r="M20" s="65">
        <f t="shared" si="6"/>
        <v>0</v>
      </c>
      <c r="N20" s="65">
        <f t="shared" si="7"/>
        <v>0</v>
      </c>
      <c r="O20" s="65">
        <f t="shared" si="8"/>
        <v>400</v>
      </c>
    </row>
    <row r="21" spans="1:15" ht="12.75">
      <c r="A21" s="53">
        <v>10</v>
      </c>
      <c r="B21" s="58">
        <v>17437</v>
      </c>
      <c r="C21" s="62" t="s">
        <v>89</v>
      </c>
      <c r="D21" s="55">
        <v>227</v>
      </c>
      <c r="E21" s="68">
        <v>0</v>
      </c>
      <c r="F21" s="75">
        <v>244</v>
      </c>
      <c r="G21" s="73">
        <f t="shared" si="0"/>
        <v>523</v>
      </c>
      <c r="H21" s="73">
        <f t="shared" si="1"/>
        <v>872</v>
      </c>
      <c r="I21" s="64">
        <f t="shared" si="2"/>
        <v>17</v>
      </c>
      <c r="J21" s="69">
        <f t="shared" si="3"/>
        <v>296</v>
      </c>
      <c r="K21" s="69">
        <f t="shared" si="4"/>
        <v>645</v>
      </c>
      <c r="L21" s="65">
        <f t="shared" si="5"/>
        <v>0</v>
      </c>
      <c r="M21" s="65">
        <f t="shared" si="6"/>
        <v>14.8</v>
      </c>
      <c r="N21" s="65">
        <f t="shared" si="7"/>
        <v>32.25</v>
      </c>
      <c r="O21" s="65">
        <f>VLOOKUP(C21,$A$7:$B$9,2)</f>
        <v>900</v>
      </c>
    </row>
    <row r="23" spans="4:15" ht="12.75">
      <c r="D23" s="47" t="s">
        <v>107</v>
      </c>
      <c r="F23" s="70">
        <f>SUM(F12:F22)</f>
        <v>263573</v>
      </c>
      <c r="G23" s="70">
        <f>SUM(G12:G22)</f>
        <v>212498</v>
      </c>
      <c r="H23" s="70">
        <f>SUM(H12:H22)</f>
        <v>183005</v>
      </c>
      <c r="I23" s="71"/>
      <c r="J23" s="71"/>
      <c r="K23" s="71"/>
      <c r="L23" s="71"/>
      <c r="M23" s="71"/>
      <c r="N23" s="71"/>
      <c r="O23" s="71"/>
    </row>
  </sheetData>
  <sheetProtection/>
  <mergeCells count="1">
    <mergeCell ref="H1:I1"/>
  </mergeCells>
  <conditionalFormatting sqref="B12:F21">
    <cfRule type="expression" priority="1" dxfId="0" stopIfTrue="1">
      <formula>SMALL($F$12:$F$21,5)&gt;=$F12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D16"/>
  <sheetViews>
    <sheetView zoomScale="85" zoomScaleNormal="85" zoomScalePageLayoutView="0" workbookViewId="0" topLeftCell="A1">
      <selection activeCell="C13" sqref="C13"/>
    </sheetView>
  </sheetViews>
  <sheetFormatPr defaultColWidth="9.140625" defaultRowHeight="12.75"/>
  <cols>
    <col min="1" max="1" width="5.57421875" style="0" bestFit="1" customWidth="1"/>
    <col min="2" max="2" width="40.57421875" style="0" bestFit="1" customWidth="1"/>
    <col min="3" max="3" width="10.28125" style="0" bestFit="1" customWidth="1"/>
  </cols>
  <sheetData>
    <row r="1" spans="1:3" ht="12.75" customHeight="1">
      <c r="A1" s="12" t="s">
        <v>38</v>
      </c>
      <c r="B1" s="12" t="s">
        <v>39</v>
      </c>
      <c r="C1" s="12" t="s">
        <v>40</v>
      </c>
    </row>
    <row r="2" spans="1:3" ht="12.75">
      <c r="A2" s="4">
        <v>1</v>
      </c>
      <c r="B2" s="16" t="s">
        <v>41</v>
      </c>
      <c r="C2" s="24">
        <v>23.75</v>
      </c>
    </row>
    <row r="3" spans="1:3" ht="12.75">
      <c r="A3" s="4">
        <v>2</v>
      </c>
      <c r="B3" s="16" t="s">
        <v>42</v>
      </c>
      <c r="C3" s="24">
        <v>52.8</v>
      </c>
    </row>
    <row r="4" spans="1:3" ht="12.75">
      <c r="A4" s="4">
        <v>3</v>
      </c>
      <c r="B4" s="16" t="s">
        <v>43</v>
      </c>
      <c r="C4" s="24">
        <v>15.95</v>
      </c>
    </row>
    <row r="5" spans="1:3" ht="12.75">
      <c r="A5" s="4">
        <v>4</v>
      </c>
      <c r="B5" s="17" t="s">
        <v>44</v>
      </c>
      <c r="C5" s="24">
        <v>155</v>
      </c>
    </row>
    <row r="6" spans="1:3" ht="12.75">
      <c r="A6" s="4">
        <v>5</v>
      </c>
      <c r="B6" s="17" t="s">
        <v>45</v>
      </c>
      <c r="C6" s="24">
        <v>135</v>
      </c>
    </row>
    <row r="7" spans="1:3" ht="12.75">
      <c r="A7" s="4">
        <v>6</v>
      </c>
      <c r="B7" s="17" t="s">
        <v>46</v>
      </c>
      <c r="C7" s="24">
        <v>135</v>
      </c>
    </row>
    <row r="8" spans="1:3" ht="12.75">
      <c r="A8" s="4">
        <v>7</v>
      </c>
      <c r="B8" s="17" t="s">
        <v>47</v>
      </c>
      <c r="C8" s="24">
        <v>125</v>
      </c>
    </row>
    <row r="9" spans="1:3" ht="12.75">
      <c r="A9" s="4">
        <v>8</v>
      </c>
      <c r="B9" s="17" t="s">
        <v>48</v>
      </c>
      <c r="C9" s="24">
        <v>69.99</v>
      </c>
    </row>
    <row r="10" spans="1:4" ht="12.75">
      <c r="A10" s="4">
        <v>9</v>
      </c>
      <c r="B10" s="17" t="s">
        <v>49</v>
      </c>
      <c r="C10" s="24">
        <v>99.99</v>
      </c>
      <c r="D10" s="25"/>
    </row>
    <row r="11" spans="1:3" ht="12.75">
      <c r="A11" s="4">
        <v>10</v>
      </c>
      <c r="B11" s="17" t="s">
        <v>50</v>
      </c>
      <c r="C11" s="24">
        <v>99.99</v>
      </c>
    </row>
    <row r="12" spans="1:3" ht="12.75">
      <c r="A12" s="4">
        <v>11</v>
      </c>
      <c r="B12" s="17" t="s">
        <v>51</v>
      </c>
      <c r="C12" s="24">
        <v>29.95</v>
      </c>
    </row>
    <row r="13" spans="1:3" ht="12.75">
      <c r="A13" s="4">
        <v>12</v>
      </c>
      <c r="B13" s="17" t="s">
        <v>52</v>
      </c>
      <c r="C13" s="24">
        <v>59.99</v>
      </c>
    </row>
    <row r="14" spans="1:3" ht="12.75">
      <c r="A14" s="4">
        <v>13</v>
      </c>
      <c r="B14" s="17" t="s">
        <v>53</v>
      </c>
      <c r="C14" s="24">
        <v>3.25</v>
      </c>
    </row>
    <row r="15" spans="1:3" ht="12.75">
      <c r="A15" s="4">
        <v>14</v>
      </c>
      <c r="B15" s="17" t="s">
        <v>54</v>
      </c>
      <c r="C15" s="24">
        <v>7.25</v>
      </c>
    </row>
    <row r="16" spans="1:3" ht="12.75">
      <c r="A16" s="4">
        <v>15</v>
      </c>
      <c r="B16" s="17" t="s">
        <v>55</v>
      </c>
      <c r="C16" s="24">
        <v>67.25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15.00390625" style="0" bestFit="1" customWidth="1"/>
    <col min="3" max="3" width="31.7109375" style="0" customWidth="1"/>
    <col min="4" max="4" width="11.57421875" style="0" bestFit="1" customWidth="1"/>
    <col min="5" max="5" width="10.57421875" style="0" bestFit="1" customWidth="1"/>
    <col min="6" max="6" width="1.8515625" style="0" customWidth="1"/>
    <col min="7" max="7" width="30.57421875" style="0" bestFit="1" customWidth="1"/>
  </cols>
  <sheetData>
    <row r="1" spans="1:4" ht="16.5" thickBot="1">
      <c r="A1" s="122" t="s">
        <v>56</v>
      </c>
      <c r="B1" s="122"/>
      <c r="C1" s="122"/>
      <c r="D1" s="122"/>
    </row>
    <row r="2" spans="1:4" ht="12.75">
      <c r="A2" s="26"/>
      <c r="B2" s="7" t="s">
        <v>57</v>
      </c>
      <c r="C2" s="7">
        <v>100</v>
      </c>
      <c r="D2" s="27"/>
    </row>
    <row r="3" spans="1:7" ht="12.75">
      <c r="A3" s="26"/>
      <c r="B3" s="7" t="s">
        <v>58</v>
      </c>
      <c r="C3" s="7">
        <v>3</v>
      </c>
      <c r="D3" s="27"/>
      <c r="G3" s="28"/>
    </row>
    <row r="4" spans="1:4" ht="12.75">
      <c r="A4" s="26"/>
      <c r="B4" s="7" t="s">
        <v>59</v>
      </c>
      <c r="C4" s="7">
        <v>1</v>
      </c>
      <c r="D4" s="27"/>
    </row>
    <row r="5" spans="1:4" ht="12.75" customHeight="1">
      <c r="A5" s="26"/>
      <c r="B5" s="29" t="s">
        <v>60</v>
      </c>
      <c r="C5" s="29">
        <v>2</v>
      </c>
      <c r="D5" s="27"/>
    </row>
    <row r="6" spans="1:4" ht="12.75">
      <c r="A6" s="12" t="s">
        <v>38</v>
      </c>
      <c r="B6" s="12" t="s">
        <v>18</v>
      </c>
      <c r="C6" s="12" t="s">
        <v>39</v>
      </c>
      <c r="D6" s="12" t="s">
        <v>61</v>
      </c>
    </row>
    <row r="7" spans="1:4" ht="12.75">
      <c r="A7" s="4">
        <v>12</v>
      </c>
      <c r="B7" s="4">
        <v>10</v>
      </c>
      <c r="C7" s="17" t="str">
        <f>VLOOKUP(A7,Pricing,2,FALSE)</f>
        <v>Touring Bag - One Size</v>
      </c>
      <c r="D7" s="30">
        <f aca="true" t="shared" si="0" ref="D7:D12">IF(A7="","",VLOOKUP(A7,Pricing,3,FALSE)*B7)</f>
        <v>599.9</v>
      </c>
    </row>
    <row r="8" spans="1:4" ht="12.75">
      <c r="A8" s="4">
        <v>4</v>
      </c>
      <c r="B8" s="4">
        <v>50</v>
      </c>
      <c r="C8" s="17" t="str">
        <f>VLOOKUP(A8,Pricing,2,FALSE)</f>
        <v>ExoRacket Graphite - Oversize</v>
      </c>
      <c r="D8" s="30">
        <f t="shared" si="0"/>
        <v>7750</v>
      </c>
    </row>
    <row r="9" spans="1:4" ht="12.75">
      <c r="A9" s="4">
        <v>8</v>
      </c>
      <c r="B9" s="4">
        <v>25</v>
      </c>
      <c r="C9" s="17" t="str">
        <f>VLOOKUP(A9,Pricing,2,FALSE)</f>
        <v>FlexPro Racket - Junior Pro</v>
      </c>
      <c r="D9" s="30">
        <f t="shared" si="0"/>
        <v>1749.7499999999998</v>
      </c>
    </row>
    <row r="10" spans="1:4" ht="12.75">
      <c r="A10" s="4">
        <v>10</v>
      </c>
      <c r="B10" s="4">
        <v>25</v>
      </c>
      <c r="C10" s="17" t="str">
        <f>VLOOKUP(A10,Pricing,2,FALSE)</f>
        <v>FlexPro Racket - Oversize</v>
      </c>
      <c r="D10" s="30">
        <f t="shared" si="0"/>
        <v>2499.75</v>
      </c>
    </row>
    <row r="11" spans="1:4" ht="12.75">
      <c r="A11" s="4">
        <v>13</v>
      </c>
      <c r="B11" s="4">
        <v>100</v>
      </c>
      <c r="C11" s="17" t="str">
        <f>VLOOKUP(A11,Pricing,2,FALSE)</f>
        <v>String Pack - Synthetic</v>
      </c>
      <c r="D11" s="30">
        <f t="shared" si="0"/>
        <v>325</v>
      </c>
    </row>
    <row r="12" spans="1:4" ht="12.75">
      <c r="A12" s="4"/>
      <c r="B12" s="4"/>
      <c r="C12" s="4"/>
      <c r="D12" s="4">
        <f t="shared" si="0"/>
      </c>
    </row>
    <row r="13" spans="1:4" ht="12.75">
      <c r="A13" s="4"/>
      <c r="B13" s="4"/>
      <c r="C13" s="31" t="s">
        <v>62</v>
      </c>
      <c r="D13" s="32">
        <f>SUM(D7:D11)</f>
        <v>12924.4</v>
      </c>
    </row>
    <row r="14" spans="1:7" ht="12.75">
      <c r="A14" s="4"/>
      <c r="B14" s="4"/>
      <c r="C14" s="4" t="s">
        <v>63</v>
      </c>
      <c r="D14" s="30">
        <f>-LOOKUP(D13,Totals,Discounts)</f>
        <v>-400</v>
      </c>
      <c r="G14" s="43" t="str">
        <f>"Shipping with a minimum of "&amp;DOLLAR(G15)</f>
        <v>Shipping with a minimum of $27.50</v>
      </c>
    </row>
    <row r="15" spans="1:7" ht="12.75">
      <c r="A15" s="4"/>
      <c r="B15" s="4"/>
      <c r="C15" s="4" t="s">
        <v>17</v>
      </c>
      <c r="D15" s="30">
        <f>INDEX((Schedule1,Schedule2,Schedule3),C3,C4,C5)*C2</f>
        <v>22</v>
      </c>
      <c r="E15" s="25">
        <f>MAX((INDEX((Schedule1,Schedule2,Schedule3),C3,C4,C5)*C2),G15)</f>
        <v>27.5</v>
      </c>
      <c r="F15" s="25"/>
      <c r="G15" s="4">
        <v>27.5</v>
      </c>
    </row>
    <row r="16" spans="1:4" ht="12.75">
      <c r="A16" s="4"/>
      <c r="B16" s="4"/>
      <c r="C16" s="4"/>
      <c r="D16" s="30"/>
    </row>
    <row r="17" spans="1:4" ht="12.75">
      <c r="A17" s="4"/>
      <c r="B17" s="4"/>
      <c r="C17" s="4" t="s">
        <v>23</v>
      </c>
      <c r="D17" s="30">
        <f>SUM(D13:D15)</f>
        <v>12546.4</v>
      </c>
    </row>
    <row r="22" ht="12.75">
      <c r="K22" t="s">
        <v>64</v>
      </c>
    </row>
  </sheetData>
  <sheetProtection/>
  <mergeCells count="1">
    <mergeCell ref="A1:D1"/>
  </mergeCells>
  <dataValidations count="1">
    <dataValidation type="list" allowBlank="1" showInputMessage="1" showErrorMessage="1" sqref="A7:A17">
      <formula1>items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C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8.7109375" style="0" bestFit="1" customWidth="1"/>
    <col min="2" max="2" width="17.421875" style="0" bestFit="1" customWidth="1"/>
    <col min="3" max="3" width="46.421875" style="0" bestFit="1" customWidth="1"/>
  </cols>
  <sheetData>
    <row r="1" spans="1:3" ht="12.75">
      <c r="A1" s="38" t="s">
        <v>63</v>
      </c>
      <c r="B1" s="38" t="s">
        <v>65</v>
      </c>
      <c r="C1" s="39" t="s">
        <v>39</v>
      </c>
    </row>
    <row r="2" spans="1:3" ht="12.75">
      <c r="A2" s="5">
        <v>0</v>
      </c>
      <c r="B2" s="34">
        <v>0</v>
      </c>
      <c r="C2" s="4" t="s">
        <v>66</v>
      </c>
    </row>
    <row r="3" spans="1:3" ht="12.75">
      <c r="A3" s="35">
        <v>150</v>
      </c>
      <c r="B3" s="35">
        <v>5000</v>
      </c>
      <c r="C3" s="4" t="s">
        <v>67</v>
      </c>
    </row>
    <row r="4" spans="1:3" ht="12.75">
      <c r="A4" s="35">
        <v>400</v>
      </c>
      <c r="B4" s="35">
        <v>10000</v>
      </c>
      <c r="C4" s="4" t="s">
        <v>68</v>
      </c>
    </row>
    <row r="5" spans="1:3" ht="12.75">
      <c r="A5" s="35">
        <v>1000</v>
      </c>
      <c r="B5" s="35">
        <v>25000</v>
      </c>
      <c r="C5" s="4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H26"/>
  <sheetViews>
    <sheetView zoomScale="70" zoomScaleNormal="70" zoomScalePageLayoutView="0" workbookViewId="0" topLeftCell="A1">
      <selection activeCell="B1" sqref="B1:H26"/>
    </sheetView>
  </sheetViews>
  <sheetFormatPr defaultColWidth="9.140625" defaultRowHeight="12.75"/>
  <sheetData>
    <row r="1" spans="2:8" ht="12.75">
      <c r="B1" s="40" t="s">
        <v>75</v>
      </c>
      <c r="C1" s="40"/>
      <c r="D1" s="40"/>
      <c r="E1" s="40"/>
      <c r="F1" s="40"/>
      <c r="H1" s="124" t="s">
        <v>78</v>
      </c>
    </row>
    <row r="2" spans="2:8" ht="12.75">
      <c r="B2" s="4"/>
      <c r="C2" s="36" t="s">
        <v>70</v>
      </c>
      <c r="D2" s="36"/>
      <c r="E2" s="36"/>
      <c r="F2" s="36"/>
      <c r="H2" s="125"/>
    </row>
    <row r="3" spans="2:8" ht="12.75">
      <c r="B3" s="37" t="s">
        <v>71</v>
      </c>
      <c r="C3" s="4">
        <v>1</v>
      </c>
      <c r="D3" s="4">
        <v>2</v>
      </c>
      <c r="E3" s="4">
        <v>3</v>
      </c>
      <c r="F3" s="4">
        <v>4</v>
      </c>
      <c r="H3" s="125"/>
    </row>
    <row r="4" spans="2:8" ht="12.75">
      <c r="B4" s="4">
        <v>1</v>
      </c>
      <c r="C4" s="41">
        <v>0.1</v>
      </c>
      <c r="D4" s="41">
        <v>0.11</v>
      </c>
      <c r="E4" s="41">
        <v>1.5</v>
      </c>
      <c r="F4" s="41" t="s">
        <v>72</v>
      </c>
      <c r="H4" s="125"/>
    </row>
    <row r="5" spans="2:8" ht="12.75">
      <c r="B5" s="4">
        <v>2</v>
      </c>
      <c r="C5" s="41">
        <v>0.18</v>
      </c>
      <c r="D5" s="41">
        <v>0.12</v>
      </c>
      <c r="E5" s="41">
        <v>2</v>
      </c>
      <c r="F5" s="41" t="s">
        <v>72</v>
      </c>
      <c r="H5" s="125"/>
    </row>
    <row r="6" spans="2:8" ht="12.75">
      <c r="B6" s="4">
        <v>3</v>
      </c>
      <c r="C6" s="41">
        <v>0.24</v>
      </c>
      <c r="D6" s="41">
        <v>0.14</v>
      </c>
      <c r="E6" s="41">
        <v>2.1</v>
      </c>
      <c r="F6" s="41">
        <v>0.2</v>
      </c>
      <c r="H6" s="125"/>
    </row>
    <row r="7" spans="2:8" ht="12.75">
      <c r="B7" s="4">
        <v>4</v>
      </c>
      <c r="C7" s="41">
        <v>0.28</v>
      </c>
      <c r="D7" s="41">
        <v>0.16</v>
      </c>
      <c r="E7" s="41">
        <v>2.25</v>
      </c>
      <c r="F7" s="41">
        <v>0.2</v>
      </c>
      <c r="H7" s="125"/>
    </row>
    <row r="8" spans="2:8" ht="12.75">
      <c r="B8" s="4">
        <v>5</v>
      </c>
      <c r="C8" s="41">
        <v>0.45</v>
      </c>
      <c r="D8" s="41">
        <v>0.4</v>
      </c>
      <c r="E8" s="41">
        <v>3.5</v>
      </c>
      <c r="F8" s="41">
        <v>0.35</v>
      </c>
      <c r="H8" s="125"/>
    </row>
    <row r="9" ht="12.75">
      <c r="H9" s="125"/>
    </row>
    <row r="10" spans="2:8" ht="12.75">
      <c r="B10" s="40" t="s">
        <v>76</v>
      </c>
      <c r="C10" s="40"/>
      <c r="D10" s="40"/>
      <c r="E10" s="40"/>
      <c r="F10" s="40"/>
      <c r="H10" s="125"/>
    </row>
    <row r="11" spans="2:8" ht="12.75">
      <c r="B11" s="4"/>
      <c r="C11" s="123" t="s">
        <v>73</v>
      </c>
      <c r="D11" s="115"/>
      <c r="E11" s="115"/>
      <c r="F11" s="115"/>
      <c r="H11" s="126"/>
    </row>
    <row r="12" spans="2:6" ht="12.75">
      <c r="B12" s="33" t="s">
        <v>71</v>
      </c>
      <c r="C12" s="4">
        <v>1</v>
      </c>
      <c r="D12" s="4">
        <v>2</v>
      </c>
      <c r="E12" s="4">
        <v>3</v>
      </c>
      <c r="F12" s="4">
        <v>4</v>
      </c>
    </row>
    <row r="13" spans="2:6" ht="12.75">
      <c r="B13" s="4">
        <v>1</v>
      </c>
      <c r="C13" s="41">
        <v>0.09</v>
      </c>
      <c r="D13" s="41">
        <v>0.1</v>
      </c>
      <c r="E13" s="41">
        <v>1.35</v>
      </c>
      <c r="F13" s="41" t="s">
        <v>72</v>
      </c>
    </row>
    <row r="14" spans="2:6" ht="12.75">
      <c r="B14" s="4">
        <v>2</v>
      </c>
      <c r="C14" s="41">
        <v>0.16</v>
      </c>
      <c r="D14" s="41">
        <v>0.11</v>
      </c>
      <c r="E14" s="41">
        <v>1.8</v>
      </c>
      <c r="F14" s="41" t="s">
        <v>72</v>
      </c>
    </row>
    <row r="15" spans="2:6" ht="12.75">
      <c r="B15" s="4">
        <v>3</v>
      </c>
      <c r="C15" s="41">
        <v>0.22</v>
      </c>
      <c r="D15" s="41">
        <v>0.13</v>
      </c>
      <c r="E15" s="41">
        <v>1.89</v>
      </c>
      <c r="F15" s="41">
        <v>0.18</v>
      </c>
    </row>
    <row r="16" spans="2:6" ht="12.75">
      <c r="B16" s="4">
        <v>4</v>
      </c>
      <c r="C16" s="41">
        <v>0.25</v>
      </c>
      <c r="D16" s="41">
        <v>0.14</v>
      </c>
      <c r="E16" s="41">
        <v>2.03</v>
      </c>
      <c r="F16" s="41">
        <v>0.18</v>
      </c>
    </row>
    <row r="17" spans="2:6" ht="12.75">
      <c r="B17" s="4">
        <v>5</v>
      </c>
      <c r="C17" s="41">
        <v>0.41</v>
      </c>
      <c r="D17" s="41">
        <v>0.36</v>
      </c>
      <c r="E17" s="41">
        <v>3.15</v>
      </c>
      <c r="F17" s="41">
        <v>0.32</v>
      </c>
    </row>
    <row r="19" spans="2:6" ht="12.75">
      <c r="B19" s="40" t="s">
        <v>77</v>
      </c>
      <c r="C19" s="40"/>
      <c r="D19" s="40"/>
      <c r="E19" s="40"/>
      <c r="F19" s="40"/>
    </row>
    <row r="20" spans="2:6" ht="12.75">
      <c r="B20" s="4"/>
      <c r="C20" s="123" t="s">
        <v>74</v>
      </c>
      <c r="D20" s="123"/>
      <c r="E20" s="123"/>
      <c r="F20" s="123"/>
    </row>
    <row r="21" spans="2:6" ht="12.75">
      <c r="B21" s="33" t="s">
        <v>71</v>
      </c>
      <c r="C21" s="4">
        <v>1</v>
      </c>
      <c r="D21" s="4">
        <v>2</v>
      </c>
      <c r="E21" s="4">
        <v>3</v>
      </c>
      <c r="F21" s="4">
        <v>4</v>
      </c>
    </row>
    <row r="22" spans="2:6" ht="12.75">
      <c r="B22" s="4">
        <v>1</v>
      </c>
      <c r="C22" s="41">
        <v>0.08</v>
      </c>
      <c r="D22" s="41">
        <v>0.09</v>
      </c>
      <c r="E22" s="41">
        <v>1.22</v>
      </c>
      <c r="F22" s="41" t="s">
        <v>72</v>
      </c>
    </row>
    <row r="23" spans="2:6" ht="12.75">
      <c r="B23" s="4">
        <v>2</v>
      </c>
      <c r="C23" s="41">
        <v>0.15</v>
      </c>
      <c r="D23" s="41">
        <v>0.1</v>
      </c>
      <c r="E23" s="41">
        <v>1.62</v>
      </c>
      <c r="F23" s="41" t="s">
        <v>72</v>
      </c>
    </row>
    <row r="24" spans="2:6" ht="12.75">
      <c r="B24" s="4">
        <v>3</v>
      </c>
      <c r="C24" s="41">
        <v>0.19</v>
      </c>
      <c r="D24" s="41">
        <v>0.11</v>
      </c>
      <c r="E24" s="41">
        <v>1.7</v>
      </c>
      <c r="F24" s="41">
        <v>0.16</v>
      </c>
    </row>
    <row r="25" spans="2:6" ht="12.75">
      <c r="B25" s="4">
        <v>4</v>
      </c>
      <c r="C25" s="41">
        <v>0.23</v>
      </c>
      <c r="D25" s="41">
        <v>0.13</v>
      </c>
      <c r="E25" s="41">
        <v>1.82</v>
      </c>
      <c r="F25" s="41">
        <v>0.16</v>
      </c>
    </row>
    <row r="26" spans="2:6" ht="12.75">
      <c r="B26" s="4">
        <v>5</v>
      </c>
      <c r="C26" s="41">
        <v>0.36</v>
      </c>
      <c r="D26" s="41">
        <v>0.32</v>
      </c>
      <c r="E26" s="41">
        <v>2.84</v>
      </c>
      <c r="F26" s="41">
        <v>0.28</v>
      </c>
    </row>
  </sheetData>
  <sheetProtection/>
  <mergeCells count="3">
    <mergeCell ref="C11:F11"/>
    <mergeCell ref="C20:F20"/>
    <mergeCell ref="H1:H1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="70" zoomScaleNormal="70" zoomScalePageLayoutView="0" workbookViewId="0" topLeftCell="A1">
      <selection activeCell="C5" sqref="C5"/>
    </sheetView>
  </sheetViews>
  <sheetFormatPr defaultColWidth="9.140625" defaultRowHeight="12.75"/>
  <cols>
    <col min="1" max="1" width="5.57421875" style="0" bestFit="1" customWidth="1"/>
    <col min="2" max="2" width="38.140625" style="0" bestFit="1" customWidth="1"/>
    <col min="3" max="3" width="9.421875" style="0" bestFit="1" customWidth="1"/>
  </cols>
  <sheetData>
    <row r="1" spans="1:11" ht="12.75">
      <c r="A1" s="100" t="s">
        <v>151</v>
      </c>
      <c r="B1" s="101"/>
      <c r="C1" s="101"/>
      <c r="D1" s="101"/>
      <c r="E1" s="101"/>
      <c r="F1" s="101"/>
      <c r="G1" s="102"/>
      <c r="H1" s="102"/>
      <c r="I1" s="102"/>
      <c r="J1" s="102"/>
      <c r="K1" s="102"/>
    </row>
    <row r="2" spans="1:11" ht="12.75">
      <c r="A2" s="100" t="s">
        <v>152</v>
      </c>
      <c r="B2" s="101"/>
      <c r="C2" s="101"/>
      <c r="D2" s="101"/>
      <c r="E2" s="101"/>
      <c r="F2" s="101"/>
      <c r="G2" s="102"/>
      <c r="H2" s="102"/>
      <c r="I2" s="102"/>
      <c r="J2" s="102"/>
      <c r="K2" s="102"/>
    </row>
    <row r="3" ht="12.75">
      <c r="D3" s="25"/>
    </row>
    <row r="4" spans="1:3" ht="12.75">
      <c r="A4" s="103" t="s">
        <v>38</v>
      </c>
      <c r="B4" s="12" t="s">
        <v>39</v>
      </c>
      <c r="C4" s="12" t="s">
        <v>40</v>
      </c>
    </row>
    <row r="5" spans="1:3" ht="12.75" customHeight="1">
      <c r="A5" s="104">
        <v>1</v>
      </c>
      <c r="B5" s="16" t="s">
        <v>153</v>
      </c>
      <c r="C5" s="105">
        <v>315</v>
      </c>
    </row>
    <row r="6" spans="1:3" ht="12.75">
      <c r="A6" s="104">
        <v>2</v>
      </c>
      <c r="B6" s="16" t="s">
        <v>154</v>
      </c>
      <c r="C6" s="105">
        <v>595</v>
      </c>
    </row>
    <row r="7" spans="1:3" ht="12.75">
      <c r="A7" s="104">
        <v>3</v>
      </c>
      <c r="B7" s="4" t="s">
        <v>155</v>
      </c>
      <c r="C7" s="105">
        <v>315</v>
      </c>
    </row>
    <row r="8" spans="1:3" ht="12.75">
      <c r="A8" s="104">
        <v>4</v>
      </c>
      <c r="B8" s="16" t="s">
        <v>156</v>
      </c>
      <c r="C8" s="105">
        <v>205</v>
      </c>
    </row>
    <row r="9" spans="1:3" ht="12.75">
      <c r="A9" s="104">
        <v>5</v>
      </c>
      <c r="B9" s="17" t="s">
        <v>157</v>
      </c>
      <c r="C9" s="105">
        <v>69.99</v>
      </c>
    </row>
    <row r="10" spans="1:3" ht="12.75">
      <c r="A10" s="104">
        <v>6</v>
      </c>
      <c r="B10" s="17" t="s">
        <v>158</v>
      </c>
      <c r="C10" s="105">
        <v>499.99</v>
      </c>
    </row>
    <row r="11" spans="1:3" ht="12.75">
      <c r="A11" s="104">
        <v>7</v>
      </c>
      <c r="B11" s="17" t="s">
        <v>159</v>
      </c>
      <c r="C11" s="105">
        <v>205</v>
      </c>
    </row>
    <row r="12" spans="1:3" ht="12.75">
      <c r="A12" s="104">
        <v>8</v>
      </c>
      <c r="B12" s="17" t="s">
        <v>160</v>
      </c>
      <c r="C12" s="105">
        <v>599</v>
      </c>
    </row>
    <row r="13" spans="1:4" ht="12.75">
      <c r="A13" s="104">
        <v>9</v>
      </c>
      <c r="B13" s="17" t="s">
        <v>161</v>
      </c>
      <c r="C13" s="105">
        <v>349</v>
      </c>
      <c r="D13" s="25"/>
    </row>
    <row r="14" spans="1:3" ht="12.75">
      <c r="A14" s="104">
        <v>10</v>
      </c>
      <c r="B14" s="17" t="s">
        <v>162</v>
      </c>
      <c r="C14" s="105">
        <v>599</v>
      </c>
    </row>
    <row r="15" spans="1:3" ht="12.75">
      <c r="A15" s="104">
        <v>11</v>
      </c>
      <c r="B15" s="17" t="s">
        <v>163</v>
      </c>
      <c r="C15" s="105">
        <v>399</v>
      </c>
    </row>
    <row r="16" spans="1:3" ht="12.75">
      <c r="A16" s="104">
        <v>12</v>
      </c>
      <c r="B16" s="17" t="s">
        <v>164</v>
      </c>
      <c r="C16" s="105">
        <v>119.99</v>
      </c>
    </row>
    <row r="17" spans="1:3" ht="12.75">
      <c r="A17" s="104">
        <v>13</v>
      </c>
      <c r="B17" s="17" t="s">
        <v>165</v>
      </c>
      <c r="C17" s="105">
        <v>119.99</v>
      </c>
    </row>
    <row r="18" spans="1:3" ht="12.75">
      <c r="A18" s="104">
        <v>14</v>
      </c>
      <c r="B18" s="17" t="s">
        <v>166</v>
      </c>
      <c r="C18" s="105">
        <v>99.99</v>
      </c>
    </row>
    <row r="19" spans="1:3" ht="12.75">
      <c r="A19" s="104">
        <v>15</v>
      </c>
      <c r="B19" s="17" t="s">
        <v>167</v>
      </c>
      <c r="C19" s="105">
        <v>699</v>
      </c>
    </row>
    <row r="20" spans="1:3" ht="12.75">
      <c r="A20" s="80">
        <v>16</v>
      </c>
      <c r="B20" s="16" t="s">
        <v>168</v>
      </c>
      <c r="C20" s="106">
        <v>699</v>
      </c>
    </row>
    <row r="21" spans="1:3" ht="12.75">
      <c r="A21" s="29"/>
      <c r="B21" s="107"/>
      <c r="C21" s="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5.57421875" style="0" bestFit="1" customWidth="1"/>
    <col min="2" max="2" width="15.00390625" style="0" bestFit="1" customWidth="1"/>
    <col min="3" max="3" width="28.140625" style="0" bestFit="1" customWidth="1"/>
    <col min="4" max="4" width="11.57421875" style="0" bestFit="1" customWidth="1"/>
  </cols>
  <sheetData>
    <row r="1" spans="1:4" ht="16.5" thickBot="1">
      <c r="A1" s="122" t="s">
        <v>169</v>
      </c>
      <c r="B1" s="122"/>
      <c r="C1" s="122"/>
      <c r="D1" s="122"/>
    </row>
    <row r="2" spans="1:4" ht="12.75">
      <c r="A2" s="26"/>
      <c r="B2" s="7" t="s">
        <v>57</v>
      </c>
      <c r="C2" s="7">
        <v>100</v>
      </c>
      <c r="D2" s="27"/>
    </row>
    <row r="3" spans="1:4" ht="12.75">
      <c r="A3" s="26"/>
      <c r="B3" s="7" t="s">
        <v>58</v>
      </c>
      <c r="C3" s="7">
        <v>2</v>
      </c>
      <c r="D3" s="27"/>
    </row>
    <row r="4" spans="1:4" ht="12.75">
      <c r="A4" s="26"/>
      <c r="B4" s="7" t="s">
        <v>59</v>
      </c>
      <c r="C4" s="7">
        <v>3</v>
      </c>
      <c r="D4" s="27"/>
    </row>
    <row r="5" spans="1:4" ht="12.75">
      <c r="A5" s="26"/>
      <c r="B5" s="29" t="s">
        <v>60</v>
      </c>
      <c r="C5" s="29">
        <v>2</v>
      </c>
      <c r="D5" s="27"/>
    </row>
    <row r="7" spans="1:4" ht="12.75">
      <c r="A7" s="12" t="s">
        <v>38</v>
      </c>
      <c r="B7" s="12" t="s">
        <v>18</v>
      </c>
      <c r="C7" s="12" t="s">
        <v>39</v>
      </c>
      <c r="D7" s="12" t="s">
        <v>61</v>
      </c>
    </row>
    <row r="8" spans="1:4" ht="12.75">
      <c r="A8" s="4">
        <v>5</v>
      </c>
      <c r="B8" s="4">
        <v>10</v>
      </c>
      <c r="C8" s="17" t="str">
        <f>VLOOKUP(A8,Prices,2)</f>
        <v>Hybrid Woods - Men</v>
      </c>
      <c r="D8" s="30">
        <f>VLOOKUP(A8,Prices,3)*B8</f>
        <v>699.9</v>
      </c>
    </row>
    <row r="9" spans="1:4" ht="12.75">
      <c r="A9" s="4">
        <v>15</v>
      </c>
      <c r="B9" s="4">
        <v>5</v>
      </c>
      <c r="C9" s="17" t="str">
        <f>VLOOKUP(A9,Prices,2)</f>
        <v>Package - Men</v>
      </c>
      <c r="D9" s="30">
        <f>VLOOKUP(A9,Prices,3)*B9</f>
        <v>3495</v>
      </c>
    </row>
    <row r="10" spans="1:4" ht="12.75">
      <c r="A10" s="4">
        <v>8</v>
      </c>
      <c r="B10" s="4">
        <v>10</v>
      </c>
      <c r="C10" s="17" t="str">
        <f>VLOOKUP(A10,Prices,2)</f>
        <v>Irons w/Steel Shafts - Men</v>
      </c>
      <c r="D10" s="30">
        <f>VLOOKUP(A10,Prices,3)*B10</f>
        <v>5990</v>
      </c>
    </row>
    <row r="11" spans="1:4" ht="12.75">
      <c r="A11" s="4">
        <v>10</v>
      </c>
      <c r="B11" s="4">
        <v>10</v>
      </c>
      <c r="C11" s="17" t="str">
        <f>VLOOKUP(A11,Prices,2)</f>
        <v>Irons w/Steel Shafts - Women</v>
      </c>
      <c r="D11" s="30">
        <f>VLOOKUP(A11,Prices,3)*B11</f>
        <v>5990</v>
      </c>
    </row>
    <row r="12" spans="1:4" ht="12.75">
      <c r="A12" s="4">
        <v>13</v>
      </c>
      <c r="B12" s="4">
        <v>20</v>
      </c>
      <c r="C12" s="17" t="str">
        <f>VLOOKUP(A12,Prices,2)</f>
        <v>Steel Putter - Women</v>
      </c>
      <c r="D12" s="30">
        <f>VLOOKUP(A12,Prices,3)*B12</f>
        <v>2399.7999999999997</v>
      </c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4"/>
      <c r="C15" s="31" t="s">
        <v>62</v>
      </c>
      <c r="D15" s="32">
        <f>SUM(D8:D12)</f>
        <v>18574.7</v>
      </c>
    </row>
    <row r="16" spans="1:4" ht="12.75">
      <c r="A16" s="4"/>
      <c r="B16" s="4"/>
      <c r="C16" s="4" t="s">
        <v>17</v>
      </c>
      <c r="D16" s="30" t="e">
        <f>INDEX((Schedule1.1,Schedule2,Schedule3.1),C3,C4,C5)*C2</f>
        <v>#VALUE!</v>
      </c>
    </row>
    <row r="17" spans="1:4" ht="12.75">
      <c r="A17" s="4"/>
      <c r="B17" s="4"/>
      <c r="C17" s="4" t="s">
        <v>170</v>
      </c>
      <c r="D17" s="106">
        <f>MAX('P317-318(3)'!B5,HLOOKUP(D15,Handle,2)*D15)</f>
        <v>1300.2290000000003</v>
      </c>
    </row>
    <row r="18" spans="1:4" ht="12.75">
      <c r="A18" s="4"/>
      <c r="B18" s="4"/>
      <c r="C18" s="4" t="s">
        <v>63</v>
      </c>
      <c r="D18" s="30">
        <f>-LOOKUP(D15,Total_Order,Disc)</f>
        <v>-150</v>
      </c>
    </row>
    <row r="19" spans="1:4" ht="12.75">
      <c r="A19" s="4"/>
      <c r="B19" s="4"/>
      <c r="C19" s="4"/>
      <c r="D19" s="30"/>
    </row>
    <row r="20" spans="1:4" ht="12.75">
      <c r="A20" s="4"/>
      <c r="B20" s="4"/>
      <c r="C20" s="4" t="s">
        <v>23</v>
      </c>
      <c r="D20" s="30" t="e">
        <f>SUM(D15:D18)</f>
        <v>#VALUE!</v>
      </c>
    </row>
  </sheetData>
  <sheetProtection/>
  <mergeCells count="1">
    <mergeCell ref="A1:D1"/>
  </mergeCells>
  <dataValidations count="1">
    <dataValidation type="list" allowBlank="1" showInputMessage="1" showErrorMessage="1" sqref="A8:A20">
      <formula1>Items2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Gel</dc:creator>
  <cp:keywords/>
  <dc:description/>
  <cp:lastModifiedBy>mgirvin</cp:lastModifiedBy>
  <dcterms:created xsi:type="dcterms:W3CDTF">2007-02-14T03:51:05Z</dcterms:created>
  <dcterms:modified xsi:type="dcterms:W3CDTF">2008-04-29T16:05:50Z</dcterms:modified>
  <cp:category/>
  <cp:version/>
  <cp:contentType/>
  <cp:contentStatus/>
</cp:coreProperties>
</file>