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1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135NoTextBook\Content\05BankingPayroll\StartFiles\"/>
    </mc:Choice>
  </mc:AlternateContent>
  <xr:revisionPtr revIDLastSave="0" documentId="13_ncr:1_{1F687C57-E44C-436B-8F31-F394B6B15A2B}" xr6:coauthVersionLast="46" xr6:coauthVersionMax="46" xr10:uidLastSave="{00000000-0000-0000-0000-000000000000}"/>
  <bookViews>
    <workbookView xWindow="-120" yWindow="-120" windowWidth="29040" windowHeight="15840" xr2:uid="{FE432DB8-4C00-4F98-A519-7736FB20EC7F}"/>
  </bookViews>
  <sheets>
    <sheet name="Cover" sheetId="1" r:id="rId1"/>
    <sheet name="Incentive Pay" sheetId="2" r:id="rId2"/>
    <sheet name="S P" sheetId="5" r:id="rId3"/>
    <sheet name="S P (an)" sheetId="64" r:id="rId4"/>
    <sheet name="V P Long-Hand" sheetId="6" r:id="rId5"/>
    <sheet name="V P Long-Hand (an)" sheetId="14" r:id="rId6"/>
    <sheet name="V P Lookup Table" sheetId="10" r:id="rId7"/>
    <sheet name="V P Lookup Table (an)" sheetId="16" r:id="rId8"/>
    <sheet name="Steps for Using Lookup Table" sheetId="13" r:id="rId9"/>
    <sheet name="V P Create Lookup Table" sheetId="15" r:id="rId10"/>
    <sheet name="V P Create Lookup Table (an)" sheetId="17" r:id="rId11"/>
    <sheet name="V P VLOOKUP(1)" sheetId="19" r:id="rId12"/>
    <sheet name="V P VLOOKUP(1an)" sheetId="24" r:id="rId13"/>
    <sheet name="V P VLOOKUP(2)" sheetId="22" r:id="rId14"/>
    <sheet name="V P VLOOKUP(2an)" sheetId="23" r:id="rId15"/>
    <sheet name="Mash VLOOKUP" sheetId="35" r:id="rId16"/>
    <sheet name="Mash VLOOKUP (an)" sheetId="36" r:id="rId17"/>
    <sheet name="Lookup is Everywhere!!!" sheetId="3" r:id="rId18"/>
    <sheet name="S C (1)" sheetId="27" r:id="rId19"/>
    <sheet name="S C (1an)" sheetId="29" r:id="rId20"/>
    <sheet name="S C (2)" sheetId="28" r:id="rId21"/>
    <sheet name="S C (2an)" sheetId="30" r:id="rId22"/>
    <sheet name="V C (1)" sheetId="31" r:id="rId23"/>
    <sheet name="V C (1an)" sheetId="33" r:id="rId24"/>
    <sheet name="C R Based on Sales Amount" sheetId="37" r:id="rId25"/>
    <sheet name="C R Based on Sales Amount (an)" sheetId="39" r:id="rId26"/>
    <sheet name="HW==&gt;&gt;" sheetId="4" r:id="rId27"/>
    <sheet name="HW(1)" sheetId="42" r:id="rId28"/>
    <sheet name="HW(1an)" sheetId="43" r:id="rId29"/>
    <sheet name="HW(2)" sheetId="48" r:id="rId30"/>
    <sheet name="HW(2an)" sheetId="46" r:id="rId31"/>
    <sheet name="HW(3)" sheetId="47" r:id="rId32"/>
    <sheet name="HW(3an)" sheetId="49" r:id="rId33"/>
    <sheet name="HW(4)" sheetId="41" r:id="rId34"/>
    <sheet name="HW(4an)" sheetId="52" r:id="rId35"/>
    <sheet name="HW(5)" sheetId="50" r:id="rId36"/>
    <sheet name="HW(5an)" sheetId="53" r:id="rId37"/>
    <sheet name="HW(6)" sheetId="51" r:id="rId38"/>
    <sheet name="HW(6an)" sheetId="54" r:id="rId39"/>
    <sheet name="HW(7)" sheetId="55" r:id="rId40"/>
    <sheet name="HW(7an)" sheetId="56" r:id="rId41"/>
    <sheet name="HW(8)" sheetId="57" r:id="rId42"/>
    <sheet name="HW(8an)" sheetId="58" r:id="rId43"/>
    <sheet name="HW(9)" sheetId="59" r:id="rId44"/>
    <sheet name="HW(9an)" sheetId="61" r:id="rId45"/>
    <sheet name="HW(10)" sheetId="62" r:id="rId46"/>
    <sheet name="HW(10an)" sheetId="63" r:id="rId47"/>
  </sheets>
  <externalReferences>
    <externalReference r:id="rId48"/>
    <externalReference r:id="rId49"/>
  </externalReferences>
  <definedNames>
    <definedName name="Married_Monthly">'[1]Wage Bracket Method'!$AL$10:$AU$39</definedName>
    <definedName name="Married_Weekly">'[1]Wage Bracket Method'!$P$10:$Y$39</definedName>
    <definedName name="MS">'[2]Wage Bracket Method'!$F$2:$F$3</definedName>
    <definedName name="Single_Monthly">'[1]Wage Bracket Method'!$AA$10:$AJ$39</definedName>
    <definedName name="Single_Weekly">'[1]Wage Bracket Method'!$E$10:$N$39</definedName>
    <definedName name="TableNumber">{"Single_Weekly",1;"Married_Weekly",2;"Single_Monthly",3;"Married_Monthly",4}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3" i="16" l="1"/>
  <c r="E12" i="64"/>
  <c r="E11" i="64"/>
  <c r="E10" i="64"/>
  <c r="E13" i="64" s="1"/>
  <c r="C5" i="64"/>
  <c r="C15" i="63"/>
  <c r="C16" i="63"/>
  <c r="C17" i="63"/>
  <c r="C18" i="63"/>
  <c r="C19" i="63"/>
  <c r="C20" i="63"/>
  <c r="C21" i="63"/>
  <c r="C22" i="63"/>
  <c r="C23" i="63"/>
  <c r="C24" i="63"/>
  <c r="C25" i="63"/>
  <c r="C26" i="63"/>
  <c r="C27" i="63"/>
  <c r="C28" i="63"/>
  <c r="C29" i="63"/>
  <c r="C30" i="63"/>
  <c r="C31" i="63"/>
  <c r="C32" i="63"/>
  <c r="C33" i="63"/>
  <c r="C34" i="63"/>
  <c r="C35" i="63"/>
  <c r="C36" i="63"/>
  <c r="C37" i="63"/>
  <c r="C38" i="63"/>
  <c r="C39" i="63"/>
  <c r="C40" i="63"/>
  <c r="C41" i="63"/>
  <c r="C42" i="63"/>
  <c r="C43" i="63"/>
  <c r="C44" i="63"/>
  <c r="C45" i="63"/>
  <c r="C46" i="63"/>
  <c r="C47" i="63"/>
  <c r="C48" i="63"/>
  <c r="C49" i="63"/>
  <c r="C50" i="63"/>
  <c r="C51" i="63"/>
  <c r="C52" i="63"/>
  <c r="C53" i="63"/>
  <c r="C54" i="63"/>
  <c r="C55" i="63"/>
  <c r="C56" i="63"/>
  <c r="C57" i="63"/>
  <c r="C58" i="63"/>
  <c r="C59" i="63"/>
  <c r="C60" i="63"/>
  <c r="C61" i="63"/>
  <c r="C62" i="63"/>
  <c r="C63" i="63"/>
  <c r="C14" i="63"/>
  <c r="B16" i="61"/>
  <c r="A15" i="61"/>
  <c r="A15" i="59"/>
  <c r="D26" i="31"/>
  <c r="E26" i="31"/>
  <c r="F26" i="31"/>
  <c r="E83" i="10"/>
  <c r="G10" i="64"/>
  <c r="G13" i="64"/>
  <c r="E5" i="64"/>
  <c r="D16" i="61"/>
  <c r="E14" i="63"/>
  <c r="E83" i="16"/>
  <c r="C65" i="63" l="1"/>
  <c r="A216" i="58"/>
  <c r="A215" i="58"/>
  <c r="A214" i="58"/>
  <c r="A213" i="58"/>
  <c r="A212" i="58"/>
  <c r="A211" i="58"/>
  <c r="A210" i="58"/>
  <c r="A209" i="58"/>
  <c r="A208" i="58"/>
  <c r="A207" i="58"/>
  <c r="A206" i="58"/>
  <c r="A205" i="58"/>
  <c r="A204" i="58"/>
  <c r="A203" i="58"/>
  <c r="A202" i="58"/>
  <c r="A201" i="58"/>
  <c r="A200" i="58"/>
  <c r="A199" i="58"/>
  <c r="A198" i="58"/>
  <c r="A197" i="58"/>
  <c r="A196" i="58"/>
  <c r="A195" i="58"/>
  <c r="A194" i="58"/>
  <c r="A193" i="58"/>
  <c r="A192" i="58"/>
  <c r="A191" i="58"/>
  <c r="A190" i="58"/>
  <c r="A189" i="58"/>
  <c r="A188" i="58"/>
  <c r="A187" i="58"/>
  <c r="A186" i="58"/>
  <c r="A185" i="58"/>
  <c r="A184" i="58"/>
  <c r="A183" i="58"/>
  <c r="A182" i="58"/>
  <c r="A181" i="58"/>
  <c r="A180" i="58"/>
  <c r="A179" i="58"/>
  <c r="A178" i="58"/>
  <c r="A177" i="58"/>
  <c r="A176" i="58"/>
  <c r="A175" i="58"/>
  <c r="A174" i="58"/>
  <c r="A173" i="58"/>
  <c r="A172" i="58"/>
  <c r="A171" i="58"/>
  <c r="A170" i="58"/>
  <c r="A169" i="58"/>
  <c r="A168" i="58"/>
  <c r="A167" i="58"/>
  <c r="A166" i="58"/>
  <c r="A165" i="58"/>
  <c r="A164" i="58"/>
  <c r="A163" i="58"/>
  <c r="A162" i="58"/>
  <c r="A161" i="58"/>
  <c r="A160" i="58"/>
  <c r="A159" i="58"/>
  <c r="A158" i="58"/>
  <c r="A157" i="58"/>
  <c r="A156" i="58"/>
  <c r="A155" i="58"/>
  <c r="A154" i="58"/>
  <c r="A153" i="58"/>
  <c r="A152" i="58"/>
  <c r="A151" i="58"/>
  <c r="A150" i="58"/>
  <c r="A149" i="58"/>
  <c r="A148" i="58"/>
  <c r="A147" i="58"/>
  <c r="A146" i="58"/>
  <c r="A145" i="58"/>
  <c r="A144" i="58"/>
  <c r="A143" i="58"/>
  <c r="A142" i="58"/>
  <c r="A141" i="58"/>
  <c r="A140" i="58"/>
  <c r="A139" i="58"/>
  <c r="A138" i="58"/>
  <c r="A137" i="58"/>
  <c r="A136" i="58"/>
  <c r="A135" i="58"/>
  <c r="A134" i="58"/>
  <c r="A133" i="58"/>
  <c r="A132" i="58"/>
  <c r="A131" i="58"/>
  <c r="A130" i="58"/>
  <c r="A129" i="58"/>
  <c r="A128" i="58"/>
  <c r="A127" i="58"/>
  <c r="A126" i="58"/>
  <c r="A125" i="58"/>
  <c r="A124" i="58"/>
  <c r="A123" i="58"/>
  <c r="A122" i="58"/>
  <c r="A121" i="58"/>
  <c r="A120" i="58"/>
  <c r="A119" i="58"/>
  <c r="A118" i="58"/>
  <c r="A117" i="58"/>
  <c r="A116" i="58"/>
  <c r="A115" i="58"/>
  <c r="A114" i="58"/>
  <c r="A113" i="58"/>
  <c r="A112" i="58"/>
  <c r="A111" i="58"/>
  <c r="A110" i="58"/>
  <c r="A109" i="58"/>
  <c r="A108" i="58"/>
  <c r="A107" i="58"/>
  <c r="A106" i="58"/>
  <c r="A105" i="58"/>
  <c r="A104" i="58"/>
  <c r="A103" i="58"/>
  <c r="A102" i="58"/>
  <c r="A101" i="58"/>
  <c r="A100" i="58"/>
  <c r="A99" i="58"/>
  <c r="A98" i="58"/>
  <c r="A97" i="58"/>
  <c r="A96" i="58"/>
  <c r="A95" i="58"/>
  <c r="A94" i="58"/>
  <c r="A93" i="58"/>
  <c r="A92" i="58"/>
  <c r="A91" i="58"/>
  <c r="A90" i="58"/>
  <c r="A89" i="58"/>
  <c r="A88" i="58"/>
  <c r="A87" i="58"/>
  <c r="A86" i="58"/>
  <c r="A85" i="58"/>
  <c r="A84" i="58"/>
  <c r="A83" i="58"/>
  <c r="A82" i="58"/>
  <c r="A81" i="58"/>
  <c r="A80" i="58"/>
  <c r="A79" i="58"/>
  <c r="A78" i="58"/>
  <c r="A77" i="58"/>
  <c r="A76" i="58"/>
  <c r="A75" i="58"/>
  <c r="A74" i="58"/>
  <c r="A73" i="58"/>
  <c r="A72" i="58"/>
  <c r="A71" i="58"/>
  <c r="A70" i="58"/>
  <c r="A69" i="58"/>
  <c r="A68" i="58"/>
  <c r="A67" i="58"/>
  <c r="A66" i="58"/>
  <c r="A65" i="58"/>
  <c r="A64" i="58"/>
  <c r="A63" i="58"/>
  <c r="A62" i="58"/>
  <c r="A61" i="58"/>
  <c r="A60" i="58"/>
  <c r="A59" i="58"/>
  <c r="A58" i="58"/>
  <c r="A57" i="58"/>
  <c r="A56" i="58"/>
  <c r="A55" i="58"/>
  <c r="A54" i="58"/>
  <c r="A53" i="58"/>
  <c r="A52" i="58"/>
  <c r="A51" i="58"/>
  <c r="A50" i="58"/>
  <c r="A49" i="58"/>
  <c r="A48" i="58"/>
  <c r="A47" i="58"/>
  <c r="A46" i="58"/>
  <c r="A45" i="58"/>
  <c r="A44" i="58"/>
  <c r="A43" i="58"/>
  <c r="A42" i="58"/>
  <c r="A41" i="58"/>
  <c r="A40" i="58"/>
  <c r="A39" i="58"/>
  <c r="A38" i="58"/>
  <c r="A37" i="58"/>
  <c r="A36" i="58"/>
  <c r="A35" i="58"/>
  <c r="A34" i="58"/>
  <c r="A33" i="58"/>
  <c r="A32" i="58"/>
  <c r="A31" i="58"/>
  <c r="A30" i="58"/>
  <c r="A29" i="58"/>
  <c r="A28" i="58"/>
  <c r="A27" i="58"/>
  <c r="A26" i="58"/>
  <c r="A25" i="58"/>
  <c r="A24" i="58"/>
  <c r="A23" i="58"/>
  <c r="A22" i="58"/>
  <c r="A21" i="58"/>
  <c r="A20" i="58"/>
  <c r="A19" i="58"/>
  <c r="A18" i="58"/>
  <c r="A17" i="58"/>
  <c r="E16" i="58"/>
  <c r="D16" i="58"/>
  <c r="I13" i="58"/>
  <c r="B13" i="58"/>
  <c r="G13" i="58" s="1"/>
  <c r="J12" i="58"/>
  <c r="I12" i="58"/>
  <c r="H12" i="58"/>
  <c r="J13" i="58" s="1"/>
  <c r="B12" i="58"/>
  <c r="G12" i="58" s="1"/>
  <c r="J11" i="58"/>
  <c r="I11" i="58"/>
  <c r="H11" i="58"/>
  <c r="B11" i="58"/>
  <c r="G11" i="58" s="1"/>
  <c r="J10" i="58"/>
  <c r="I10" i="58"/>
  <c r="H10" i="58"/>
  <c r="B10" i="58"/>
  <c r="G10" i="58" s="1"/>
  <c r="J9" i="58"/>
  <c r="I9" i="58"/>
  <c r="H9" i="58"/>
  <c r="B9" i="58"/>
  <c r="G9" i="58" s="1"/>
  <c r="I8" i="58"/>
  <c r="H8" i="58"/>
  <c r="G8" i="58"/>
  <c r="A8" i="58"/>
  <c r="F8" i="58" s="1"/>
  <c r="I7" i="58"/>
  <c r="F16" i="58" s="1"/>
  <c r="H7" i="58"/>
  <c r="G7" i="58"/>
  <c r="F7" i="58"/>
  <c r="AE2" i="58"/>
  <c r="AD2" i="58" s="1"/>
  <c r="AE2" i="57"/>
  <c r="AD2" i="57" s="1"/>
  <c r="A18" i="57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4" i="57"/>
  <c r="A55" i="57"/>
  <c r="A56" i="57"/>
  <c r="A57" i="57"/>
  <c r="A58" i="57"/>
  <c r="A59" i="57"/>
  <c r="A60" i="57"/>
  <c r="A61" i="57"/>
  <c r="A62" i="57"/>
  <c r="A63" i="57"/>
  <c r="A64" i="57"/>
  <c r="A65" i="57"/>
  <c r="A66" i="57"/>
  <c r="A67" i="57"/>
  <c r="A68" i="57"/>
  <c r="A69" i="57"/>
  <c r="A70" i="57"/>
  <c r="A71" i="57"/>
  <c r="A72" i="57"/>
  <c r="A73" i="57"/>
  <c r="A74" i="57"/>
  <c r="A75" i="57"/>
  <c r="A76" i="57"/>
  <c r="A77" i="57"/>
  <c r="A78" i="57"/>
  <c r="A79" i="57"/>
  <c r="A80" i="57"/>
  <c r="A81" i="57"/>
  <c r="A82" i="57"/>
  <c r="A83" i="57"/>
  <c r="A84" i="57"/>
  <c r="A85" i="57"/>
  <c r="A86" i="57"/>
  <c r="A87" i="57"/>
  <c r="A88" i="57"/>
  <c r="A89" i="57"/>
  <c r="A90" i="57"/>
  <c r="A91" i="57"/>
  <c r="A92" i="57"/>
  <c r="A93" i="57"/>
  <c r="A94" i="57"/>
  <c r="A95" i="57"/>
  <c r="A96" i="57"/>
  <c r="A97" i="57"/>
  <c r="A98" i="57"/>
  <c r="A99" i="57"/>
  <c r="A100" i="57"/>
  <c r="A101" i="57"/>
  <c r="A102" i="57"/>
  <c r="A103" i="57"/>
  <c r="A104" i="57"/>
  <c r="A105" i="57"/>
  <c r="A106" i="57"/>
  <c r="A107" i="57"/>
  <c r="A108" i="57"/>
  <c r="A109" i="57"/>
  <c r="A110" i="57"/>
  <c r="A111" i="57"/>
  <c r="A112" i="57"/>
  <c r="A113" i="57"/>
  <c r="A114" i="57"/>
  <c r="A115" i="57"/>
  <c r="A116" i="57"/>
  <c r="A117" i="57"/>
  <c r="A118" i="57"/>
  <c r="A119" i="57"/>
  <c r="A120" i="57"/>
  <c r="A121" i="57"/>
  <c r="A122" i="57"/>
  <c r="A123" i="57"/>
  <c r="A124" i="57"/>
  <c r="A125" i="57"/>
  <c r="A126" i="57"/>
  <c r="A127" i="57"/>
  <c r="A128" i="57"/>
  <c r="A129" i="57"/>
  <c r="A130" i="57"/>
  <c r="A131" i="57"/>
  <c r="A132" i="57"/>
  <c r="A133" i="57"/>
  <c r="A134" i="57"/>
  <c r="A135" i="57"/>
  <c r="A136" i="57"/>
  <c r="A137" i="57"/>
  <c r="A138" i="57"/>
  <c r="A139" i="57"/>
  <c r="A140" i="57"/>
  <c r="A141" i="57"/>
  <c r="A142" i="57"/>
  <c r="A143" i="57"/>
  <c r="A144" i="57"/>
  <c r="A145" i="57"/>
  <c r="A146" i="57"/>
  <c r="A147" i="57"/>
  <c r="A148" i="57"/>
  <c r="A149" i="57"/>
  <c r="A150" i="57"/>
  <c r="A151" i="57"/>
  <c r="A152" i="57"/>
  <c r="A153" i="57"/>
  <c r="A154" i="57"/>
  <c r="A155" i="57"/>
  <c r="A156" i="57"/>
  <c r="A157" i="57"/>
  <c r="A158" i="57"/>
  <c r="A159" i="57"/>
  <c r="A160" i="57"/>
  <c r="A161" i="57"/>
  <c r="A162" i="57"/>
  <c r="A163" i="57"/>
  <c r="A164" i="57"/>
  <c r="A165" i="57"/>
  <c r="A166" i="57"/>
  <c r="A167" i="57"/>
  <c r="A168" i="57"/>
  <c r="A169" i="57"/>
  <c r="A170" i="57"/>
  <c r="A171" i="57"/>
  <c r="A172" i="57"/>
  <c r="A173" i="57"/>
  <c r="A174" i="57"/>
  <c r="A175" i="57"/>
  <c r="A176" i="57"/>
  <c r="A177" i="57"/>
  <c r="A178" i="57"/>
  <c r="A179" i="57"/>
  <c r="A180" i="57"/>
  <c r="A181" i="57"/>
  <c r="A182" i="57"/>
  <c r="A183" i="57"/>
  <c r="A184" i="57"/>
  <c r="A185" i="57"/>
  <c r="A186" i="57"/>
  <c r="A187" i="57"/>
  <c r="A188" i="57"/>
  <c r="A189" i="57"/>
  <c r="A190" i="57"/>
  <c r="A191" i="57"/>
  <c r="A192" i="57"/>
  <c r="A193" i="57"/>
  <c r="A194" i="57"/>
  <c r="A195" i="57"/>
  <c r="A196" i="57"/>
  <c r="A197" i="57"/>
  <c r="A198" i="57"/>
  <c r="A199" i="57"/>
  <c r="A200" i="57"/>
  <c r="A201" i="57"/>
  <c r="A202" i="57"/>
  <c r="A203" i="57"/>
  <c r="A204" i="57"/>
  <c r="A205" i="57"/>
  <c r="A206" i="57"/>
  <c r="A207" i="57"/>
  <c r="A208" i="57"/>
  <c r="A209" i="57"/>
  <c r="A210" i="57"/>
  <c r="A211" i="57"/>
  <c r="A212" i="57"/>
  <c r="A213" i="57"/>
  <c r="A214" i="57"/>
  <c r="A215" i="57"/>
  <c r="A216" i="57"/>
  <c r="A17" i="57"/>
  <c r="B13" i="57"/>
  <c r="A13" i="57" s="1"/>
  <c r="B12" i="57"/>
  <c r="B11" i="57"/>
  <c r="A11" i="57" s="1"/>
  <c r="B10" i="57"/>
  <c r="B9" i="57"/>
  <c r="A9" i="57" s="1"/>
  <c r="A8" i="57"/>
  <c r="D40" i="56"/>
  <c r="E40" i="56" s="1"/>
  <c r="A40" i="56"/>
  <c r="D39" i="56"/>
  <c r="E39" i="56" s="1"/>
  <c r="A39" i="56"/>
  <c r="E38" i="56"/>
  <c r="D38" i="56"/>
  <c r="A38" i="56"/>
  <c r="D37" i="56"/>
  <c r="E37" i="56" s="1"/>
  <c r="A37" i="56"/>
  <c r="D36" i="56"/>
  <c r="E36" i="56" s="1"/>
  <c r="A36" i="56"/>
  <c r="D35" i="56"/>
  <c r="E35" i="56" s="1"/>
  <c r="A35" i="56"/>
  <c r="D34" i="56"/>
  <c r="E34" i="56" s="1"/>
  <c r="A34" i="56"/>
  <c r="D33" i="56"/>
  <c r="E33" i="56" s="1"/>
  <c r="A33" i="56"/>
  <c r="D32" i="56"/>
  <c r="E32" i="56" s="1"/>
  <c r="A32" i="56"/>
  <c r="D31" i="56"/>
  <c r="E31" i="56" s="1"/>
  <c r="A31" i="56"/>
  <c r="D30" i="56"/>
  <c r="E30" i="56" s="1"/>
  <c r="A30" i="56"/>
  <c r="D29" i="56"/>
  <c r="E29" i="56" s="1"/>
  <c r="A29" i="56"/>
  <c r="D28" i="56"/>
  <c r="E28" i="56" s="1"/>
  <c r="A28" i="56"/>
  <c r="D27" i="56"/>
  <c r="E27" i="56" s="1"/>
  <c r="A27" i="56"/>
  <c r="D26" i="56"/>
  <c r="E26" i="56" s="1"/>
  <c r="A26" i="56"/>
  <c r="E25" i="56"/>
  <c r="D25" i="56"/>
  <c r="A25" i="56"/>
  <c r="D24" i="56"/>
  <c r="E24" i="56" s="1"/>
  <c r="A24" i="56"/>
  <c r="D23" i="56"/>
  <c r="E23" i="56" s="1"/>
  <c r="A23" i="56"/>
  <c r="E22" i="56"/>
  <c r="D22" i="56"/>
  <c r="A22" i="56"/>
  <c r="D21" i="56"/>
  <c r="E21" i="56" s="1"/>
  <c r="A21" i="56"/>
  <c r="D20" i="56"/>
  <c r="E20" i="56" s="1"/>
  <c r="A20" i="56"/>
  <c r="D19" i="56"/>
  <c r="E19" i="56" s="1"/>
  <c r="A19" i="56"/>
  <c r="D18" i="56"/>
  <c r="E18" i="56" s="1"/>
  <c r="A18" i="56"/>
  <c r="D17" i="56"/>
  <c r="E17" i="56" s="1"/>
  <c r="A17" i="56"/>
  <c r="D16" i="56"/>
  <c r="E16" i="56" s="1"/>
  <c r="A16" i="56"/>
  <c r="D15" i="56"/>
  <c r="E15" i="56" s="1"/>
  <c r="A15" i="56"/>
  <c r="D14" i="56"/>
  <c r="E14" i="56" s="1"/>
  <c r="A14" i="56"/>
  <c r="D13" i="56"/>
  <c r="E13" i="56" s="1"/>
  <c r="A13" i="56"/>
  <c r="D12" i="56"/>
  <c r="E12" i="56" s="1"/>
  <c r="A12" i="56"/>
  <c r="D11" i="56"/>
  <c r="E11" i="56" s="1"/>
  <c r="A11" i="56"/>
  <c r="E7" i="56"/>
  <c r="D7" i="56"/>
  <c r="A12" i="55"/>
  <c r="A13" i="55"/>
  <c r="A14" i="55"/>
  <c r="A15" i="55"/>
  <c r="A16" i="55"/>
  <c r="A17" i="55"/>
  <c r="A18" i="55"/>
  <c r="A19" i="55"/>
  <c r="A20" i="55"/>
  <c r="A21" i="55"/>
  <c r="A22" i="55"/>
  <c r="A23" i="55"/>
  <c r="A24" i="55"/>
  <c r="A25" i="55"/>
  <c r="A26" i="55"/>
  <c r="A27" i="55"/>
  <c r="A28" i="55"/>
  <c r="A29" i="55"/>
  <c r="A30" i="55"/>
  <c r="A31" i="55"/>
  <c r="A32" i="55"/>
  <c r="A33" i="55"/>
  <c r="A34" i="55"/>
  <c r="A35" i="55"/>
  <c r="A36" i="55"/>
  <c r="A37" i="55"/>
  <c r="A38" i="55"/>
  <c r="A39" i="55"/>
  <c r="A40" i="55"/>
  <c r="A11" i="55"/>
  <c r="C66" i="54"/>
  <c r="C67" i="54" s="1"/>
  <c r="B66" i="54"/>
  <c r="C65" i="54"/>
  <c r="B65" i="54"/>
  <c r="F63" i="54"/>
  <c r="E63" i="54"/>
  <c r="D63" i="54"/>
  <c r="B63" i="54"/>
  <c r="E62" i="54"/>
  <c r="D62" i="54"/>
  <c r="C63" i="54" s="1"/>
  <c r="B62" i="54"/>
  <c r="E61" i="54"/>
  <c r="D61" i="54"/>
  <c r="F61" i="54" s="1"/>
  <c r="C61" i="54"/>
  <c r="B61" i="54"/>
  <c r="F60" i="54"/>
  <c r="E60" i="54"/>
  <c r="D60" i="54"/>
  <c r="C60" i="54"/>
  <c r="B60" i="54"/>
  <c r="D32" i="54"/>
  <c r="D30" i="54"/>
  <c r="F24" i="54"/>
  <c r="F23" i="54"/>
  <c r="E37" i="54" s="1"/>
  <c r="E15" i="54"/>
  <c r="C13" i="54"/>
  <c r="B13" i="54"/>
  <c r="B12" i="54"/>
  <c r="B11" i="54"/>
  <c r="F7" i="54"/>
  <c r="B7" i="54"/>
  <c r="F6" i="54"/>
  <c r="C12" i="54" s="1"/>
  <c r="B6" i="54"/>
  <c r="J5" i="54"/>
  <c r="I5" i="54"/>
  <c r="B5" i="54"/>
  <c r="C84" i="53"/>
  <c r="C85" i="53" s="1"/>
  <c r="B84" i="53"/>
  <c r="C83" i="53"/>
  <c r="B83" i="53"/>
  <c r="F81" i="53"/>
  <c r="E81" i="53"/>
  <c r="D81" i="53"/>
  <c r="B81" i="53"/>
  <c r="E80" i="53"/>
  <c r="D80" i="53"/>
  <c r="H81" i="53" s="1"/>
  <c r="B80" i="53"/>
  <c r="E79" i="53"/>
  <c r="D79" i="53"/>
  <c r="F79" i="53" s="1"/>
  <c r="G80" i="53" s="1"/>
  <c r="C79" i="53"/>
  <c r="B79" i="53"/>
  <c r="F78" i="53"/>
  <c r="E78" i="53"/>
  <c r="D78" i="53"/>
  <c r="C78" i="53"/>
  <c r="B78" i="53"/>
  <c r="D34" i="53"/>
  <c r="D32" i="53"/>
  <c r="D30" i="53"/>
  <c r="F24" i="53"/>
  <c r="C32" i="53" s="1"/>
  <c r="E32" i="53" s="1"/>
  <c r="F23" i="53"/>
  <c r="H36" i="53" s="1"/>
  <c r="E15" i="53"/>
  <c r="C13" i="53"/>
  <c r="B13" i="53"/>
  <c r="B12" i="53"/>
  <c r="B11" i="53"/>
  <c r="F7" i="53"/>
  <c r="C12" i="53" s="1"/>
  <c r="B7" i="53"/>
  <c r="F6" i="53"/>
  <c r="G6" i="53" s="1"/>
  <c r="G7" i="53" s="1"/>
  <c r="B6" i="53"/>
  <c r="J5" i="53"/>
  <c r="I5" i="53"/>
  <c r="B5" i="53"/>
  <c r="D34" i="52"/>
  <c r="D32" i="52"/>
  <c r="D30" i="52"/>
  <c r="F24" i="52"/>
  <c r="F23" i="52"/>
  <c r="C30" i="52" s="1"/>
  <c r="C31" i="52" s="1"/>
  <c r="E15" i="52"/>
  <c r="C13" i="52"/>
  <c r="B13" i="52"/>
  <c r="B12" i="52"/>
  <c r="B11" i="52"/>
  <c r="F7" i="52"/>
  <c r="C12" i="52" s="1"/>
  <c r="B7" i="52"/>
  <c r="F6" i="52"/>
  <c r="G6" i="52" s="1"/>
  <c r="B6" i="52"/>
  <c r="J5" i="52"/>
  <c r="I5" i="52"/>
  <c r="B5" i="52"/>
  <c r="I6" i="54"/>
  <c r="E16" i="53"/>
  <c r="E13" i="54"/>
  <c r="J6" i="54"/>
  <c r="E12" i="53"/>
  <c r="E16" i="52"/>
  <c r="D8" i="56"/>
  <c r="E17" i="54"/>
  <c r="E17" i="52"/>
  <c r="E11" i="52"/>
  <c r="E17" i="53"/>
  <c r="E14" i="52"/>
  <c r="E16" i="54"/>
  <c r="E11" i="54"/>
  <c r="J6" i="53"/>
  <c r="I6" i="53"/>
  <c r="E14" i="53"/>
  <c r="E13" i="53"/>
  <c r="E13" i="52"/>
  <c r="I6" i="52"/>
  <c r="E11" i="53"/>
  <c r="E8" i="56"/>
  <c r="J6" i="52"/>
  <c r="E14" i="54"/>
  <c r="E12" i="52"/>
  <c r="E12" i="54"/>
  <c r="G6" i="54" l="1"/>
  <c r="C11" i="54" s="1"/>
  <c r="C14" i="54" s="1"/>
  <c r="G7" i="52"/>
  <c r="E30" i="52"/>
  <c r="C30" i="54"/>
  <c r="C31" i="54" s="1"/>
  <c r="C32" i="54" s="1"/>
  <c r="E32" i="54" s="1"/>
  <c r="H63" i="54"/>
  <c r="E39" i="52"/>
  <c r="H80" i="53"/>
  <c r="G62" i="54"/>
  <c r="F21" i="58"/>
  <c r="E20" i="58"/>
  <c r="K9" i="58"/>
  <c r="I184" i="58" s="1"/>
  <c r="E216" i="58"/>
  <c r="F213" i="58"/>
  <c r="E212" i="58"/>
  <c r="F209" i="58"/>
  <c r="E208" i="58"/>
  <c r="F205" i="58"/>
  <c r="E204" i="58"/>
  <c r="F201" i="58"/>
  <c r="E200" i="58"/>
  <c r="F197" i="58"/>
  <c r="E196" i="58"/>
  <c r="F193" i="58"/>
  <c r="E192" i="58"/>
  <c r="F189" i="58"/>
  <c r="E188" i="58"/>
  <c r="F185" i="58"/>
  <c r="E184" i="58"/>
  <c r="F181" i="58"/>
  <c r="E180" i="58"/>
  <c r="F177" i="58"/>
  <c r="E176" i="58"/>
  <c r="I175" i="58"/>
  <c r="D175" i="58"/>
  <c r="F173" i="58"/>
  <c r="E172" i="58"/>
  <c r="F169" i="58"/>
  <c r="E168" i="58"/>
  <c r="F214" i="58"/>
  <c r="E213" i="58"/>
  <c r="F210" i="58"/>
  <c r="E209" i="58"/>
  <c r="F206" i="58"/>
  <c r="E205" i="58"/>
  <c r="F202" i="58"/>
  <c r="E201" i="58"/>
  <c r="F198" i="58"/>
  <c r="E197" i="58"/>
  <c r="F194" i="58"/>
  <c r="E193" i="58"/>
  <c r="F190" i="58"/>
  <c r="E189" i="58"/>
  <c r="F186" i="58"/>
  <c r="E185" i="58"/>
  <c r="F182" i="58"/>
  <c r="E181" i="58"/>
  <c r="F178" i="58"/>
  <c r="E177" i="58"/>
  <c r="F174" i="58"/>
  <c r="E173" i="58"/>
  <c r="F170" i="58"/>
  <c r="E169" i="58"/>
  <c r="F166" i="58"/>
  <c r="E165" i="58"/>
  <c r="F162" i="58"/>
  <c r="E161" i="58"/>
  <c r="F216" i="58"/>
  <c r="E215" i="58"/>
  <c r="F212" i="58"/>
  <c r="E211" i="58"/>
  <c r="I210" i="58"/>
  <c r="F208" i="58"/>
  <c r="E207" i="58"/>
  <c r="F204" i="58"/>
  <c r="E203" i="58"/>
  <c r="F200" i="58"/>
  <c r="E199" i="58"/>
  <c r="F196" i="58"/>
  <c r="E195" i="58"/>
  <c r="F192" i="58"/>
  <c r="E191" i="58"/>
  <c r="F188" i="58"/>
  <c r="E187" i="58"/>
  <c r="F184" i="58"/>
  <c r="E183" i="58"/>
  <c r="F180" i="58"/>
  <c r="E179" i="58"/>
  <c r="F176" i="58"/>
  <c r="E175" i="58"/>
  <c r="F172" i="58"/>
  <c r="E171" i="58"/>
  <c r="F168" i="58"/>
  <c r="E167" i="58"/>
  <c r="F164" i="58"/>
  <c r="E163" i="58"/>
  <c r="F160" i="58"/>
  <c r="E214" i="58"/>
  <c r="E206" i="58"/>
  <c r="E198" i="58"/>
  <c r="E190" i="58"/>
  <c r="E182" i="58"/>
  <c r="E174" i="58"/>
  <c r="E166" i="58"/>
  <c r="E164" i="58"/>
  <c r="E162" i="58"/>
  <c r="E160" i="58"/>
  <c r="F157" i="58"/>
  <c r="E156" i="58"/>
  <c r="F153" i="58"/>
  <c r="E152" i="58"/>
  <c r="F149" i="58"/>
  <c r="E148" i="58"/>
  <c r="F145" i="58"/>
  <c r="E144" i="58"/>
  <c r="F141" i="58"/>
  <c r="E140" i="58"/>
  <c r="F137" i="58"/>
  <c r="E136" i="58"/>
  <c r="F133" i="58"/>
  <c r="E132" i="58"/>
  <c r="F215" i="58"/>
  <c r="F207" i="58"/>
  <c r="F199" i="58"/>
  <c r="F191" i="58"/>
  <c r="F183" i="58"/>
  <c r="F175" i="58"/>
  <c r="F167" i="58"/>
  <c r="F158" i="58"/>
  <c r="E157" i="58"/>
  <c r="F154" i="58"/>
  <c r="E153" i="58"/>
  <c r="F150" i="58"/>
  <c r="E149" i="58"/>
  <c r="F146" i="58"/>
  <c r="E145" i="58"/>
  <c r="F142" i="58"/>
  <c r="E141" i="58"/>
  <c r="F138" i="58"/>
  <c r="E137" i="58"/>
  <c r="F134" i="58"/>
  <c r="E133" i="58"/>
  <c r="F130" i="58"/>
  <c r="E129" i="58"/>
  <c r="F126" i="58"/>
  <c r="E125" i="58"/>
  <c r="F122" i="58"/>
  <c r="E121" i="58"/>
  <c r="E210" i="58"/>
  <c r="E202" i="58"/>
  <c r="E194" i="58"/>
  <c r="E186" i="58"/>
  <c r="E178" i="58"/>
  <c r="E170" i="58"/>
  <c r="F159" i="58"/>
  <c r="E158" i="58"/>
  <c r="F155" i="58"/>
  <c r="E154" i="58"/>
  <c r="D153" i="58"/>
  <c r="F151" i="58"/>
  <c r="E150" i="58"/>
  <c r="F147" i="58"/>
  <c r="E146" i="58"/>
  <c r="F143" i="58"/>
  <c r="E142" i="58"/>
  <c r="F139" i="58"/>
  <c r="E138" i="58"/>
  <c r="F135" i="58"/>
  <c r="E134" i="58"/>
  <c r="F131" i="58"/>
  <c r="E130" i="58"/>
  <c r="F211" i="58"/>
  <c r="F203" i="58"/>
  <c r="F195" i="58"/>
  <c r="F187" i="58"/>
  <c r="F179" i="58"/>
  <c r="F171" i="58"/>
  <c r="E155" i="58"/>
  <c r="E147" i="58"/>
  <c r="E139" i="58"/>
  <c r="E131" i="58"/>
  <c r="E124" i="58"/>
  <c r="F123" i="58"/>
  <c r="F121" i="58"/>
  <c r="F119" i="58"/>
  <c r="E118" i="58"/>
  <c r="F115" i="58"/>
  <c r="E114" i="58"/>
  <c r="F111" i="58"/>
  <c r="E110" i="58"/>
  <c r="F107" i="58"/>
  <c r="E106" i="58"/>
  <c r="F103" i="58"/>
  <c r="E102" i="58"/>
  <c r="F99" i="58"/>
  <c r="E98" i="58"/>
  <c r="F95" i="58"/>
  <c r="E94" i="58"/>
  <c r="F91" i="58"/>
  <c r="E90" i="58"/>
  <c r="F87" i="58"/>
  <c r="E86" i="58"/>
  <c r="E159" i="58"/>
  <c r="E151" i="58"/>
  <c r="E143" i="58"/>
  <c r="E135" i="58"/>
  <c r="F129" i="58"/>
  <c r="E128" i="58"/>
  <c r="F127" i="58"/>
  <c r="F125" i="58"/>
  <c r="E120" i="58"/>
  <c r="F117" i="58"/>
  <c r="E116" i="58"/>
  <c r="F113" i="58"/>
  <c r="E112" i="58"/>
  <c r="F109" i="58"/>
  <c r="E108" i="58"/>
  <c r="F105" i="58"/>
  <c r="E104" i="58"/>
  <c r="F101" i="58"/>
  <c r="E100" i="58"/>
  <c r="F97" i="58"/>
  <c r="E96" i="58"/>
  <c r="F93" i="58"/>
  <c r="E92" i="58"/>
  <c r="F89" i="58"/>
  <c r="E88" i="58"/>
  <c r="F85" i="58"/>
  <c r="E84" i="58"/>
  <c r="F81" i="58"/>
  <c r="E80" i="58"/>
  <c r="F77" i="58"/>
  <c r="E76" i="58"/>
  <c r="F73" i="58"/>
  <c r="E72" i="58"/>
  <c r="F69" i="58"/>
  <c r="E68" i="58"/>
  <c r="F65" i="58"/>
  <c r="E64" i="58"/>
  <c r="I63" i="58"/>
  <c r="D63" i="58"/>
  <c r="F61" i="58"/>
  <c r="E60" i="58"/>
  <c r="F152" i="58"/>
  <c r="F144" i="58"/>
  <c r="F136" i="58"/>
  <c r="E127" i="58"/>
  <c r="F124" i="58"/>
  <c r="E122" i="58"/>
  <c r="F118" i="58"/>
  <c r="E117" i="58"/>
  <c r="F114" i="58"/>
  <c r="E113" i="58"/>
  <c r="F110" i="58"/>
  <c r="E109" i="58"/>
  <c r="F106" i="58"/>
  <c r="E105" i="58"/>
  <c r="F102" i="58"/>
  <c r="E101" i="58"/>
  <c r="F98" i="58"/>
  <c r="E97" i="58"/>
  <c r="F94" i="58"/>
  <c r="E93" i="58"/>
  <c r="F90" i="58"/>
  <c r="E89" i="58"/>
  <c r="F86" i="58"/>
  <c r="E85" i="58"/>
  <c r="F82" i="58"/>
  <c r="E81" i="58"/>
  <c r="F78" i="58"/>
  <c r="E77" i="58"/>
  <c r="F74" i="58"/>
  <c r="E73" i="58"/>
  <c r="F70" i="58"/>
  <c r="E69" i="58"/>
  <c r="F66" i="58"/>
  <c r="E65" i="58"/>
  <c r="F62" i="58"/>
  <c r="E61" i="58"/>
  <c r="F58" i="58"/>
  <c r="E57" i="58"/>
  <c r="F54" i="58"/>
  <c r="E53" i="58"/>
  <c r="F50" i="58"/>
  <c r="E49" i="58"/>
  <c r="F46" i="58"/>
  <c r="E45" i="58"/>
  <c r="F42" i="58"/>
  <c r="E41" i="58"/>
  <c r="F163" i="58"/>
  <c r="E119" i="58"/>
  <c r="E111" i="58"/>
  <c r="E103" i="58"/>
  <c r="E95" i="58"/>
  <c r="E87" i="58"/>
  <c r="F84" i="58"/>
  <c r="E83" i="58"/>
  <c r="E82" i="58"/>
  <c r="F80" i="58"/>
  <c r="E79" i="58"/>
  <c r="E78" i="58"/>
  <c r="F76" i="58"/>
  <c r="E75" i="58"/>
  <c r="E74" i="58"/>
  <c r="F72" i="58"/>
  <c r="E71" i="58"/>
  <c r="E70" i="58"/>
  <c r="F68" i="58"/>
  <c r="E67" i="58"/>
  <c r="E66" i="58"/>
  <c r="F64" i="58"/>
  <c r="E63" i="58"/>
  <c r="E62" i="58"/>
  <c r="F60" i="58"/>
  <c r="E59" i="58"/>
  <c r="E58" i="58"/>
  <c r="E55" i="58"/>
  <c r="I54" i="58"/>
  <c r="F52" i="58"/>
  <c r="E50" i="58"/>
  <c r="E47" i="58"/>
  <c r="F44" i="58"/>
  <c r="E42" i="58"/>
  <c r="E39" i="58"/>
  <c r="F36" i="58"/>
  <c r="E35" i="58"/>
  <c r="F32" i="58"/>
  <c r="E31" i="58"/>
  <c r="F28" i="58"/>
  <c r="E27" i="58"/>
  <c r="F24" i="58"/>
  <c r="E23" i="58"/>
  <c r="F20" i="58"/>
  <c r="E19" i="58"/>
  <c r="E126" i="58"/>
  <c r="F120" i="58"/>
  <c r="F104" i="58"/>
  <c r="F96" i="58"/>
  <c r="F88" i="58"/>
  <c r="D31" i="58"/>
  <c r="F29" i="58"/>
  <c r="E28" i="58"/>
  <c r="E115" i="58"/>
  <c r="E107" i="58"/>
  <c r="E99" i="58"/>
  <c r="E91" i="58"/>
  <c r="F56" i="58"/>
  <c r="E54" i="58"/>
  <c r="E51" i="58"/>
  <c r="F48" i="58"/>
  <c r="E46" i="58"/>
  <c r="E43" i="58"/>
  <c r="F40" i="58"/>
  <c r="F38" i="58"/>
  <c r="E37" i="58"/>
  <c r="F34" i="58"/>
  <c r="E33" i="58"/>
  <c r="F30" i="58"/>
  <c r="E29" i="58"/>
  <c r="F26" i="58"/>
  <c r="E25" i="58"/>
  <c r="F22" i="58"/>
  <c r="E21" i="58"/>
  <c r="F18" i="58"/>
  <c r="F17" i="58"/>
  <c r="F33" i="58"/>
  <c r="E32" i="58"/>
  <c r="I31" i="58"/>
  <c r="F161" i="58"/>
  <c r="F156" i="58"/>
  <c r="F148" i="58"/>
  <c r="F140" i="58"/>
  <c r="F132" i="58"/>
  <c r="E123" i="58"/>
  <c r="F116" i="58"/>
  <c r="F108" i="58"/>
  <c r="F100" i="58"/>
  <c r="F92" i="58"/>
  <c r="F83" i="58"/>
  <c r="F79" i="58"/>
  <c r="F75" i="58"/>
  <c r="F71" i="58"/>
  <c r="F67" i="58"/>
  <c r="F63" i="58"/>
  <c r="F59" i="58"/>
  <c r="E56" i="58"/>
  <c r="F55" i="58"/>
  <c r="D54" i="58"/>
  <c r="F53" i="58"/>
  <c r="E48" i="58"/>
  <c r="F47" i="58"/>
  <c r="F45" i="58"/>
  <c r="E40" i="58"/>
  <c r="F39" i="58"/>
  <c r="E38" i="58"/>
  <c r="F35" i="58"/>
  <c r="E34" i="58"/>
  <c r="F31" i="58"/>
  <c r="E30" i="58"/>
  <c r="F27" i="58"/>
  <c r="E26" i="58"/>
  <c r="F23" i="58"/>
  <c r="E22" i="58"/>
  <c r="F19" i="58"/>
  <c r="E18" i="58"/>
  <c r="E17" i="58"/>
  <c r="F165" i="58"/>
  <c r="F128" i="58"/>
  <c r="F112" i="58"/>
  <c r="F57" i="58"/>
  <c r="E52" i="58"/>
  <c r="F51" i="58"/>
  <c r="F49" i="58"/>
  <c r="E44" i="58"/>
  <c r="F43" i="58"/>
  <c r="F41" i="58"/>
  <c r="F37" i="58"/>
  <c r="E36" i="58"/>
  <c r="F25" i="58"/>
  <c r="E24" i="58"/>
  <c r="K10" i="58"/>
  <c r="I70" i="58" s="1"/>
  <c r="A9" i="58"/>
  <c r="F9" i="58" s="1"/>
  <c r="A10" i="58"/>
  <c r="F10" i="58" s="1"/>
  <c r="A11" i="58"/>
  <c r="F11" i="58" s="1"/>
  <c r="A12" i="58"/>
  <c r="F12" i="58" s="1"/>
  <c r="A13" i="58"/>
  <c r="F13" i="58" s="1"/>
  <c r="A12" i="57"/>
  <c r="A10" i="57"/>
  <c r="E42" i="56"/>
  <c r="C17" i="54"/>
  <c r="G7" i="54"/>
  <c r="C16" i="54" s="1"/>
  <c r="F62" i="54"/>
  <c r="G63" i="54" s="1"/>
  <c r="C69" i="54" s="1"/>
  <c r="H62" i="54"/>
  <c r="C62" i="54"/>
  <c r="C16" i="53"/>
  <c r="C17" i="53"/>
  <c r="C11" i="53"/>
  <c r="C14" i="53" s="1"/>
  <c r="F80" i="53"/>
  <c r="G81" i="53" s="1"/>
  <c r="C87" i="53" s="1"/>
  <c r="C81" i="53"/>
  <c r="C30" i="53"/>
  <c r="C31" i="53" s="1"/>
  <c r="C33" i="53" s="1"/>
  <c r="C34" i="53" s="1"/>
  <c r="E34" i="53" s="1"/>
  <c r="C80" i="53"/>
  <c r="C17" i="52"/>
  <c r="C11" i="52"/>
  <c r="C14" i="52" s="1"/>
  <c r="C16" i="52"/>
  <c r="C32" i="52"/>
  <c r="E32" i="52" s="1"/>
  <c r="E23" i="49"/>
  <c r="D23" i="49"/>
  <c r="G20" i="49"/>
  <c r="F20" i="49"/>
  <c r="E20" i="49"/>
  <c r="D20" i="49"/>
  <c r="F18" i="49"/>
  <c r="C18" i="49"/>
  <c r="B18" i="49" s="1"/>
  <c r="B6" i="49" s="1"/>
  <c r="F17" i="49"/>
  <c r="C17" i="49"/>
  <c r="B17" i="49" s="1"/>
  <c r="B5" i="49" s="1"/>
  <c r="F16" i="49"/>
  <c r="C16" i="49"/>
  <c r="F15" i="49"/>
  <c r="G15" i="49" s="1"/>
  <c r="C15" i="49"/>
  <c r="B15" i="49" s="1"/>
  <c r="B3" i="49" s="1"/>
  <c r="B14" i="49"/>
  <c r="B2" i="49" s="1"/>
  <c r="E13" i="49"/>
  <c r="F23" i="49" s="1"/>
  <c r="J11" i="46"/>
  <c r="I11" i="46"/>
  <c r="E10" i="46"/>
  <c r="B20" i="46" s="1"/>
  <c r="D37" i="46"/>
  <c r="D35" i="46"/>
  <c r="D33" i="46"/>
  <c r="D29" i="46"/>
  <c r="D28" i="46"/>
  <c r="D27" i="46"/>
  <c r="C27" i="46"/>
  <c r="B27" i="46"/>
  <c r="B19" i="46"/>
  <c r="B18" i="46"/>
  <c r="F13" i="46"/>
  <c r="C13" i="46"/>
  <c r="C29" i="46" s="1"/>
  <c r="F12" i="46"/>
  <c r="G12" i="46" s="1"/>
  <c r="C12" i="46"/>
  <c r="C28" i="46" s="1"/>
  <c r="B11" i="46"/>
  <c r="B2" i="46" s="1"/>
  <c r="B8" i="43"/>
  <c r="C15" i="39"/>
  <c r="B14" i="39"/>
  <c r="B14" i="37"/>
  <c r="D21" i="49"/>
  <c r="E21" i="49"/>
  <c r="E19" i="46"/>
  <c r="J24" i="49"/>
  <c r="E16" i="46"/>
  <c r="E20" i="46"/>
  <c r="E22" i="46"/>
  <c r="J12" i="46"/>
  <c r="E18" i="46"/>
  <c r="G39" i="46"/>
  <c r="G21" i="49"/>
  <c r="G40" i="46"/>
  <c r="E15" i="39"/>
  <c r="D8" i="43"/>
  <c r="F21" i="49"/>
  <c r="I12" i="46"/>
  <c r="E21" i="46"/>
  <c r="F27" i="46" l="1"/>
  <c r="C33" i="46" s="1"/>
  <c r="D114" i="58"/>
  <c r="E30" i="54"/>
  <c r="E34" i="54" s="1"/>
  <c r="E30" i="53"/>
  <c r="E36" i="53" s="1"/>
  <c r="I153" i="58"/>
  <c r="F36" i="49"/>
  <c r="I114" i="58"/>
  <c r="F28" i="49"/>
  <c r="F28" i="46"/>
  <c r="C35" i="46" s="1"/>
  <c r="E35" i="46" s="1"/>
  <c r="G13" i="46"/>
  <c r="C22" i="46" s="1"/>
  <c r="F32" i="49"/>
  <c r="D50" i="58"/>
  <c r="G50" i="58" s="1"/>
  <c r="G175" i="58"/>
  <c r="D21" i="58"/>
  <c r="G21" i="58" s="1"/>
  <c r="I197" i="58"/>
  <c r="D70" i="58"/>
  <c r="G70" i="58" s="1"/>
  <c r="J70" i="58" s="1"/>
  <c r="I141" i="58"/>
  <c r="I76" i="58"/>
  <c r="I50" i="58"/>
  <c r="J50" i="58" s="1"/>
  <c r="K11" i="58"/>
  <c r="D141" i="58"/>
  <c r="G141" i="58" s="1"/>
  <c r="D76" i="58"/>
  <c r="G76" i="58" s="1"/>
  <c r="D197" i="58"/>
  <c r="G197" i="58" s="1"/>
  <c r="I21" i="58"/>
  <c r="G114" i="58"/>
  <c r="G54" i="58"/>
  <c r="G31" i="58"/>
  <c r="J31" i="58" s="1"/>
  <c r="G153" i="58"/>
  <c r="J175" i="58"/>
  <c r="J54" i="58"/>
  <c r="J153" i="58"/>
  <c r="D184" i="58"/>
  <c r="G184" i="58" s="1"/>
  <c r="J184" i="58" s="1"/>
  <c r="G63" i="58"/>
  <c r="J63" i="58" s="1"/>
  <c r="D210" i="58"/>
  <c r="G210" i="58" s="1"/>
  <c r="J210" i="58" s="1"/>
  <c r="C33" i="52"/>
  <c r="C34" i="52" s="1"/>
  <c r="E34" i="52" s="1"/>
  <c r="E36" i="52" s="1"/>
  <c r="G16" i="49"/>
  <c r="E29" i="49"/>
  <c r="E33" i="49"/>
  <c r="F24" i="49"/>
  <c r="F27" i="49"/>
  <c r="E28" i="49"/>
  <c r="F31" i="49"/>
  <c r="E32" i="49"/>
  <c r="F35" i="49"/>
  <c r="E36" i="49"/>
  <c r="E25" i="49"/>
  <c r="F25" i="49"/>
  <c r="E26" i="49"/>
  <c r="F29" i="49"/>
  <c r="E30" i="49"/>
  <c r="F33" i="49"/>
  <c r="E34" i="49"/>
  <c r="B16" i="49"/>
  <c r="B4" i="49" s="1"/>
  <c r="E24" i="49"/>
  <c r="F26" i="49"/>
  <c r="E27" i="49"/>
  <c r="D28" i="49"/>
  <c r="G28" i="49" s="1"/>
  <c r="F30" i="49"/>
  <c r="E31" i="49"/>
  <c r="F34" i="49"/>
  <c r="E35" i="49"/>
  <c r="E40" i="46"/>
  <c r="C19" i="46"/>
  <c r="C20" i="46"/>
  <c r="B28" i="46"/>
  <c r="B29" i="46"/>
  <c r="B12" i="46"/>
  <c r="B3" i="46" s="1"/>
  <c r="B13" i="46"/>
  <c r="B4" i="46" s="1"/>
  <c r="J114" i="58" l="1"/>
  <c r="C16" i="46"/>
  <c r="C18" i="46"/>
  <c r="C21" i="46" s="1"/>
  <c r="J21" i="58"/>
  <c r="G17" i="49"/>
  <c r="K28" i="49"/>
  <c r="N8" i="58"/>
  <c r="D19" i="58"/>
  <c r="G19" i="58" s="1"/>
  <c r="D215" i="58"/>
  <c r="G215" i="58" s="1"/>
  <c r="D211" i="58"/>
  <c r="G211" i="58" s="1"/>
  <c r="D203" i="58"/>
  <c r="G203" i="58" s="1"/>
  <c r="D199" i="58"/>
  <c r="G199" i="58" s="1"/>
  <c r="D195" i="58"/>
  <c r="G195" i="58" s="1"/>
  <c r="D191" i="58"/>
  <c r="G191" i="58" s="1"/>
  <c r="D187" i="58"/>
  <c r="G187" i="58" s="1"/>
  <c r="D183" i="58"/>
  <c r="G183" i="58" s="1"/>
  <c r="D171" i="58"/>
  <c r="G171" i="58" s="1"/>
  <c r="D167" i="58"/>
  <c r="G167" i="58" s="1"/>
  <c r="K12" i="58"/>
  <c r="I216" i="58"/>
  <c r="I208" i="58"/>
  <c r="I204" i="58"/>
  <c r="I200" i="58"/>
  <c r="I196" i="58"/>
  <c r="I192" i="58"/>
  <c r="I180" i="58"/>
  <c r="I176" i="58"/>
  <c r="I168" i="58"/>
  <c r="I164" i="58"/>
  <c r="I160" i="58"/>
  <c r="D206" i="58"/>
  <c r="G206" i="58" s="1"/>
  <c r="D202" i="58"/>
  <c r="G202" i="58" s="1"/>
  <c r="D198" i="58"/>
  <c r="G198" i="58" s="1"/>
  <c r="D194" i="58"/>
  <c r="G194" i="58" s="1"/>
  <c r="D186" i="58"/>
  <c r="G186" i="58" s="1"/>
  <c r="D170" i="58"/>
  <c r="G170" i="58" s="1"/>
  <c r="D209" i="58"/>
  <c r="G209" i="58" s="1"/>
  <c r="D160" i="58"/>
  <c r="G160" i="58" s="1"/>
  <c r="D156" i="58"/>
  <c r="G156" i="58" s="1"/>
  <c r="D140" i="58"/>
  <c r="G140" i="58" s="1"/>
  <c r="D132" i="58"/>
  <c r="G132" i="58" s="1"/>
  <c r="I165" i="58"/>
  <c r="D119" i="58"/>
  <c r="G119" i="58" s="1"/>
  <c r="D115" i="58"/>
  <c r="G115" i="58" s="1"/>
  <c r="D87" i="58"/>
  <c r="G87" i="58" s="1"/>
  <c r="D83" i="58"/>
  <c r="G83" i="58" s="1"/>
  <c r="D79" i="58"/>
  <c r="G79" i="58" s="1"/>
  <c r="D173" i="58"/>
  <c r="G173" i="58" s="1"/>
  <c r="I51" i="58"/>
  <c r="D45" i="58"/>
  <c r="G45" i="58" s="1"/>
  <c r="D110" i="58"/>
  <c r="G110" i="58" s="1"/>
  <c r="D216" i="58"/>
  <c r="G216" i="58" s="1"/>
  <c r="D208" i="58"/>
  <c r="G208" i="58" s="1"/>
  <c r="D204" i="58"/>
  <c r="G204" i="58" s="1"/>
  <c r="D200" i="58"/>
  <c r="G200" i="58" s="1"/>
  <c r="D196" i="58"/>
  <c r="G196" i="58" s="1"/>
  <c r="D192" i="58"/>
  <c r="G192" i="58" s="1"/>
  <c r="D180" i="58"/>
  <c r="G180" i="58" s="1"/>
  <c r="D176" i="58"/>
  <c r="G176" i="58" s="1"/>
  <c r="D168" i="58"/>
  <c r="G168" i="58" s="1"/>
  <c r="D164" i="58"/>
  <c r="G164" i="58" s="1"/>
  <c r="I159" i="58"/>
  <c r="I147" i="58"/>
  <c r="I143" i="58"/>
  <c r="I139" i="58"/>
  <c r="I135" i="58"/>
  <c r="I131" i="58"/>
  <c r="I133" i="58"/>
  <c r="I129" i="58"/>
  <c r="D127" i="58"/>
  <c r="G127" i="58" s="1"/>
  <c r="D122" i="58"/>
  <c r="G122" i="58" s="1"/>
  <c r="I117" i="58"/>
  <c r="I97" i="58"/>
  <c r="I89" i="58"/>
  <c r="I126" i="58"/>
  <c r="I116" i="58"/>
  <c r="I108" i="58"/>
  <c r="I104" i="58"/>
  <c r="I100" i="58"/>
  <c r="I96" i="58"/>
  <c r="I92" i="58"/>
  <c r="I88" i="58"/>
  <c r="I80" i="58"/>
  <c r="I72" i="58"/>
  <c r="I52" i="58"/>
  <c r="D134" i="58"/>
  <c r="G134" i="58" s="1"/>
  <c r="D69" i="58"/>
  <c r="G69" i="58" s="1"/>
  <c r="D55" i="58"/>
  <c r="G55" i="58" s="1"/>
  <c r="I27" i="58"/>
  <c r="I110" i="58"/>
  <c r="I215" i="58"/>
  <c r="I211" i="58"/>
  <c r="I203" i="58"/>
  <c r="I199" i="58"/>
  <c r="I195" i="58"/>
  <c r="I191" i="58"/>
  <c r="I187" i="58"/>
  <c r="I183" i="58"/>
  <c r="I171" i="58"/>
  <c r="I167" i="58"/>
  <c r="D159" i="58"/>
  <c r="G159" i="58" s="1"/>
  <c r="D147" i="58"/>
  <c r="G147" i="58" s="1"/>
  <c r="D143" i="58"/>
  <c r="G143" i="58" s="1"/>
  <c r="D139" i="58"/>
  <c r="G139" i="58" s="1"/>
  <c r="D135" i="58"/>
  <c r="G135" i="58" s="1"/>
  <c r="D131" i="58"/>
  <c r="G131" i="58" s="1"/>
  <c r="I189" i="58"/>
  <c r="I173" i="58"/>
  <c r="J173" i="58" s="1"/>
  <c r="I161" i="58"/>
  <c r="D133" i="58"/>
  <c r="G133" i="58" s="1"/>
  <c r="D129" i="58"/>
  <c r="G129" i="58" s="1"/>
  <c r="D117" i="58"/>
  <c r="G117" i="58" s="1"/>
  <c r="D97" i="58"/>
  <c r="G97" i="58" s="1"/>
  <c r="D89" i="58"/>
  <c r="G89" i="58" s="1"/>
  <c r="D126" i="58"/>
  <c r="G126" i="58" s="1"/>
  <c r="D116" i="58"/>
  <c r="G116" i="58" s="1"/>
  <c r="D108" i="58"/>
  <c r="G108" i="58" s="1"/>
  <c r="D104" i="58"/>
  <c r="G104" i="58" s="1"/>
  <c r="D100" i="58"/>
  <c r="G100" i="58" s="1"/>
  <c r="D96" i="58"/>
  <c r="G96" i="58" s="1"/>
  <c r="D92" i="58"/>
  <c r="G92" i="58" s="1"/>
  <c r="D88" i="58"/>
  <c r="G88" i="58" s="1"/>
  <c r="D80" i="58"/>
  <c r="G80" i="58" s="1"/>
  <c r="D72" i="58"/>
  <c r="G72" i="58" s="1"/>
  <c r="D52" i="58"/>
  <c r="G52" i="58" s="1"/>
  <c r="I43" i="58"/>
  <c r="D189" i="58"/>
  <c r="G189" i="58" s="1"/>
  <c r="I55" i="58"/>
  <c r="J55" i="58" s="1"/>
  <c r="D49" i="58"/>
  <c r="G49" i="58" s="1"/>
  <c r="I39" i="58"/>
  <c r="D32" i="58"/>
  <c r="G32" i="58" s="1"/>
  <c r="I74" i="58"/>
  <c r="I69" i="58"/>
  <c r="D43" i="58"/>
  <c r="G43" i="58" s="1"/>
  <c r="D98" i="58"/>
  <c r="G98" i="58" s="1"/>
  <c r="I202" i="58"/>
  <c r="J202" i="58" s="1"/>
  <c r="I186" i="58"/>
  <c r="I170" i="58"/>
  <c r="I132" i="58"/>
  <c r="I134" i="58"/>
  <c r="I119" i="58"/>
  <c r="I87" i="58"/>
  <c r="I37" i="58"/>
  <c r="I25" i="58"/>
  <c r="I122" i="58"/>
  <c r="D39" i="58"/>
  <c r="G39" i="58" s="1"/>
  <c r="D35" i="58"/>
  <c r="G35" i="58" s="1"/>
  <c r="I206" i="58"/>
  <c r="D161" i="58"/>
  <c r="G161" i="58" s="1"/>
  <c r="I32" i="58"/>
  <c r="I127" i="58"/>
  <c r="J127" i="58" s="1"/>
  <c r="I65" i="58"/>
  <c r="D25" i="58"/>
  <c r="G25" i="58" s="1"/>
  <c r="I156" i="58"/>
  <c r="I79" i="58"/>
  <c r="J79" i="58" s="1"/>
  <c r="I98" i="58"/>
  <c r="D46" i="58"/>
  <c r="G46" i="58" s="1"/>
  <c r="I198" i="58"/>
  <c r="I115" i="58"/>
  <c r="I83" i="58"/>
  <c r="J83" i="58" s="1"/>
  <c r="I46" i="58"/>
  <c r="J46" i="58" s="1"/>
  <c r="I49" i="58"/>
  <c r="D74" i="58"/>
  <c r="G74" i="58" s="1"/>
  <c r="I45" i="58"/>
  <c r="J45" i="58" s="1"/>
  <c r="I35" i="58"/>
  <c r="I209" i="58"/>
  <c r="D65" i="58"/>
  <c r="G65" i="58" s="1"/>
  <c r="D37" i="58"/>
  <c r="G37" i="58" s="1"/>
  <c r="D27" i="58"/>
  <c r="G27" i="58" s="1"/>
  <c r="I194" i="58"/>
  <c r="J194" i="58" s="1"/>
  <c r="D165" i="58"/>
  <c r="G165" i="58" s="1"/>
  <c r="I140" i="58"/>
  <c r="J140" i="58" s="1"/>
  <c r="D51" i="58"/>
  <c r="G51" i="58" s="1"/>
  <c r="I19" i="58"/>
  <c r="J76" i="58"/>
  <c r="J197" i="58"/>
  <c r="J141" i="58"/>
  <c r="D27" i="49"/>
  <c r="G27" i="49" s="1"/>
  <c r="D31" i="49"/>
  <c r="G31" i="49" s="1"/>
  <c r="D35" i="49"/>
  <c r="G35" i="49" s="1"/>
  <c r="I27" i="49"/>
  <c r="I31" i="49"/>
  <c r="I35" i="49"/>
  <c r="G18" i="49"/>
  <c r="I28" i="49"/>
  <c r="E33" i="46"/>
  <c r="C34" i="46"/>
  <c r="C36" i="46" s="1"/>
  <c r="C37" i="46" s="1"/>
  <c r="E37" i="46" s="1"/>
  <c r="E39" i="46" l="1"/>
  <c r="J98" i="58"/>
  <c r="J206" i="58"/>
  <c r="J134" i="58"/>
  <c r="J167" i="58"/>
  <c r="J191" i="58"/>
  <c r="J211" i="58"/>
  <c r="J156" i="58"/>
  <c r="J35" i="58"/>
  <c r="J122" i="58"/>
  <c r="J119" i="58"/>
  <c r="J186" i="58"/>
  <c r="J69" i="58"/>
  <c r="J187" i="58"/>
  <c r="J203" i="58"/>
  <c r="J65" i="58"/>
  <c r="J74" i="58"/>
  <c r="J133" i="58"/>
  <c r="J143" i="58"/>
  <c r="J131" i="58"/>
  <c r="J147" i="58"/>
  <c r="J129" i="58"/>
  <c r="J139" i="58"/>
  <c r="J161" i="58"/>
  <c r="J27" i="58"/>
  <c r="J92" i="58"/>
  <c r="J108" i="58"/>
  <c r="J192" i="58"/>
  <c r="J96" i="58"/>
  <c r="J117" i="58"/>
  <c r="J196" i="58"/>
  <c r="J132" i="58"/>
  <c r="J19" i="58"/>
  <c r="J209" i="58"/>
  <c r="J49" i="58"/>
  <c r="J198" i="58"/>
  <c r="J32" i="58"/>
  <c r="J87" i="58"/>
  <c r="J170" i="58"/>
  <c r="J39" i="58"/>
  <c r="J43" i="58"/>
  <c r="J183" i="58"/>
  <c r="J199" i="58"/>
  <c r="J110" i="58"/>
  <c r="J88" i="58"/>
  <c r="J104" i="58"/>
  <c r="J89" i="58"/>
  <c r="J135" i="58"/>
  <c r="J159" i="58"/>
  <c r="J165" i="58"/>
  <c r="J160" i="58"/>
  <c r="J180" i="58"/>
  <c r="J204" i="58"/>
  <c r="J52" i="58"/>
  <c r="J97" i="58"/>
  <c r="J51" i="58"/>
  <c r="J164" i="58"/>
  <c r="J208" i="58"/>
  <c r="J25" i="58"/>
  <c r="J72" i="58"/>
  <c r="J116" i="58"/>
  <c r="J168" i="58"/>
  <c r="J216" i="58"/>
  <c r="J115" i="58"/>
  <c r="J37" i="58"/>
  <c r="J189" i="58"/>
  <c r="J171" i="58"/>
  <c r="J195" i="58"/>
  <c r="J215" i="58"/>
  <c r="J80" i="58"/>
  <c r="J100" i="58"/>
  <c r="J126" i="58"/>
  <c r="J176" i="58"/>
  <c r="J200" i="58"/>
  <c r="D207" i="58"/>
  <c r="G207" i="58" s="1"/>
  <c r="D179" i="58"/>
  <c r="G179" i="58" s="1"/>
  <c r="K13" i="58"/>
  <c r="I212" i="58"/>
  <c r="I188" i="58"/>
  <c r="I172" i="58"/>
  <c r="D214" i="58"/>
  <c r="G214" i="58" s="1"/>
  <c r="D190" i="58"/>
  <c r="G190" i="58" s="1"/>
  <c r="D182" i="58"/>
  <c r="G182" i="58" s="1"/>
  <c r="D178" i="58"/>
  <c r="G178" i="58" s="1"/>
  <c r="D174" i="58"/>
  <c r="G174" i="58" s="1"/>
  <c r="D162" i="58"/>
  <c r="G162" i="58" s="1"/>
  <c r="D193" i="58"/>
  <c r="G193" i="58" s="1"/>
  <c r="D177" i="58"/>
  <c r="G177" i="58" s="1"/>
  <c r="D152" i="58"/>
  <c r="G152" i="58" s="1"/>
  <c r="D136" i="58"/>
  <c r="G136" i="58" s="1"/>
  <c r="D128" i="58"/>
  <c r="G128" i="58" s="1"/>
  <c r="D124" i="58"/>
  <c r="G124" i="58" s="1"/>
  <c r="I213" i="58"/>
  <c r="I181" i="58"/>
  <c r="I154" i="58"/>
  <c r="I138" i="58"/>
  <c r="D111" i="58"/>
  <c r="G111" i="58" s="1"/>
  <c r="D107" i="58"/>
  <c r="G107" i="58" s="1"/>
  <c r="D103" i="58"/>
  <c r="G103" i="58" s="1"/>
  <c r="D95" i="58"/>
  <c r="G95" i="58" s="1"/>
  <c r="D91" i="58"/>
  <c r="G91" i="58" s="1"/>
  <c r="D71" i="58"/>
  <c r="G71" i="58" s="1"/>
  <c r="D59" i="58"/>
  <c r="G59" i="58" s="1"/>
  <c r="D142" i="58"/>
  <c r="G142" i="58" s="1"/>
  <c r="D17" i="58"/>
  <c r="G17" i="58" s="1"/>
  <c r="D58" i="58"/>
  <c r="G58" i="58" s="1"/>
  <c r="D57" i="58"/>
  <c r="G57" i="58" s="1"/>
  <c r="I47" i="58"/>
  <c r="D41" i="58"/>
  <c r="G41" i="58" s="1"/>
  <c r="D213" i="58"/>
  <c r="G213" i="58" s="1"/>
  <c r="D94" i="58"/>
  <c r="G94" i="58" s="1"/>
  <c r="I82" i="58"/>
  <c r="I77" i="58"/>
  <c r="I66" i="58"/>
  <c r="D212" i="58"/>
  <c r="G212" i="58" s="1"/>
  <c r="D188" i="58"/>
  <c r="G188" i="58" s="1"/>
  <c r="D172" i="58"/>
  <c r="G172" i="58" s="1"/>
  <c r="I201" i="58"/>
  <c r="I185" i="58"/>
  <c r="I169" i="58"/>
  <c r="D163" i="58"/>
  <c r="G163" i="58" s="1"/>
  <c r="I155" i="58"/>
  <c r="I151" i="58"/>
  <c r="I163" i="58"/>
  <c r="I157" i="58"/>
  <c r="I149" i="58"/>
  <c r="I145" i="58"/>
  <c r="I137" i="58"/>
  <c r="I142" i="58"/>
  <c r="I113" i="58"/>
  <c r="I109" i="58"/>
  <c r="I105" i="58"/>
  <c r="I101" i="58"/>
  <c r="I93" i="58"/>
  <c r="I85" i="58"/>
  <c r="I121" i="58"/>
  <c r="D154" i="58"/>
  <c r="G154" i="58" s="1"/>
  <c r="D138" i="58"/>
  <c r="G138" i="58" s="1"/>
  <c r="I112" i="58"/>
  <c r="I84" i="58"/>
  <c r="I64" i="58"/>
  <c r="I60" i="58"/>
  <c r="I56" i="58"/>
  <c r="I48" i="58"/>
  <c r="I44" i="58"/>
  <c r="I40" i="58"/>
  <c r="I106" i="58"/>
  <c r="I90" i="58"/>
  <c r="I38" i="58"/>
  <c r="I34" i="58"/>
  <c r="I30" i="58"/>
  <c r="I26" i="58"/>
  <c r="I22" i="58"/>
  <c r="I18" i="58"/>
  <c r="I94" i="58"/>
  <c r="J94" i="58" s="1"/>
  <c r="I207" i="58"/>
  <c r="J207" i="58" s="1"/>
  <c r="I179" i="58"/>
  <c r="D155" i="58"/>
  <c r="G155" i="58" s="1"/>
  <c r="D151" i="58"/>
  <c r="G151" i="58" s="1"/>
  <c r="D201" i="58"/>
  <c r="G201" i="58" s="1"/>
  <c r="D185" i="58"/>
  <c r="G185" i="58" s="1"/>
  <c r="D169" i="58"/>
  <c r="G169" i="58" s="1"/>
  <c r="I205" i="58"/>
  <c r="D157" i="58"/>
  <c r="G157" i="58" s="1"/>
  <c r="D149" i="58"/>
  <c r="G149" i="58" s="1"/>
  <c r="D145" i="58"/>
  <c r="G145" i="58" s="1"/>
  <c r="D137" i="58"/>
  <c r="G137" i="58" s="1"/>
  <c r="D113" i="58"/>
  <c r="G113" i="58" s="1"/>
  <c r="D109" i="58"/>
  <c r="G109" i="58" s="1"/>
  <c r="D105" i="58"/>
  <c r="G105" i="58" s="1"/>
  <c r="D101" i="58"/>
  <c r="G101" i="58" s="1"/>
  <c r="D93" i="58"/>
  <c r="G93" i="58" s="1"/>
  <c r="D85" i="58"/>
  <c r="G85" i="58" s="1"/>
  <c r="I146" i="58"/>
  <c r="I130" i="58"/>
  <c r="D120" i="58"/>
  <c r="G120" i="58" s="1"/>
  <c r="D112" i="58"/>
  <c r="G112" i="58" s="1"/>
  <c r="D84" i="58"/>
  <c r="G84" i="58" s="1"/>
  <c r="D64" i="58"/>
  <c r="G64" i="58" s="1"/>
  <c r="D60" i="58"/>
  <c r="G60" i="58" s="1"/>
  <c r="D56" i="58"/>
  <c r="G56" i="58" s="1"/>
  <c r="D48" i="58"/>
  <c r="G48" i="58" s="1"/>
  <c r="D44" i="58"/>
  <c r="G44" i="58" s="1"/>
  <c r="D40" i="58"/>
  <c r="G40" i="58" s="1"/>
  <c r="D53" i="58"/>
  <c r="G53" i="58" s="1"/>
  <c r="D38" i="58"/>
  <c r="G38" i="58" s="1"/>
  <c r="D34" i="58"/>
  <c r="G34" i="58" s="1"/>
  <c r="D30" i="58"/>
  <c r="G30" i="58" s="1"/>
  <c r="D26" i="58"/>
  <c r="G26" i="58" s="1"/>
  <c r="D22" i="58"/>
  <c r="G22" i="58" s="1"/>
  <c r="D18" i="58"/>
  <c r="G18" i="58" s="1"/>
  <c r="D66" i="58"/>
  <c r="G66" i="58" s="1"/>
  <c r="D36" i="58"/>
  <c r="G36" i="58" s="1"/>
  <c r="D28" i="58"/>
  <c r="G28" i="58" s="1"/>
  <c r="D24" i="58"/>
  <c r="G24" i="58" s="1"/>
  <c r="D20" i="58"/>
  <c r="G20" i="58" s="1"/>
  <c r="D118" i="58"/>
  <c r="G118" i="58" s="1"/>
  <c r="D102" i="58"/>
  <c r="G102" i="58" s="1"/>
  <c r="I58" i="58"/>
  <c r="I193" i="58"/>
  <c r="J193" i="58" s="1"/>
  <c r="I103" i="58"/>
  <c r="J103" i="58" s="1"/>
  <c r="I71" i="58"/>
  <c r="J71" i="58" s="1"/>
  <c r="D146" i="58"/>
  <c r="G146" i="58" s="1"/>
  <c r="D78" i="58"/>
  <c r="G78" i="58" s="1"/>
  <c r="I102" i="58"/>
  <c r="I28" i="58"/>
  <c r="J28" i="58" s="1"/>
  <c r="I41" i="58"/>
  <c r="I33" i="58"/>
  <c r="I29" i="58"/>
  <c r="D82" i="58"/>
  <c r="G82" i="58" s="1"/>
  <c r="D73" i="58"/>
  <c r="G73" i="58" s="1"/>
  <c r="I23" i="58"/>
  <c r="I190" i="58"/>
  <c r="I174" i="58"/>
  <c r="J174" i="58" s="1"/>
  <c r="I152" i="58"/>
  <c r="I120" i="58"/>
  <c r="J120" i="58" s="1"/>
  <c r="I150" i="58"/>
  <c r="D150" i="58"/>
  <c r="G150" i="58" s="1"/>
  <c r="I17" i="58"/>
  <c r="I118" i="58"/>
  <c r="D62" i="58"/>
  <c r="G62" i="58" s="1"/>
  <c r="I81" i="58"/>
  <c r="D33" i="58"/>
  <c r="G33" i="58" s="1"/>
  <c r="D81" i="58"/>
  <c r="G81" i="58" s="1"/>
  <c r="I124" i="58"/>
  <c r="I59" i="58"/>
  <c r="I42" i="58"/>
  <c r="I20" i="58"/>
  <c r="J20" i="58" s="1"/>
  <c r="D23" i="58"/>
  <c r="G23" i="58" s="1"/>
  <c r="D106" i="58"/>
  <c r="G106" i="58" s="1"/>
  <c r="I53" i="58"/>
  <c r="D42" i="58"/>
  <c r="G42" i="58" s="1"/>
  <c r="I214" i="58"/>
  <c r="J214" i="58" s="1"/>
  <c r="I182" i="58"/>
  <c r="I177" i="58"/>
  <c r="I128" i="58"/>
  <c r="J128" i="58" s="1"/>
  <c r="D130" i="58"/>
  <c r="G130" i="58" s="1"/>
  <c r="D205" i="58"/>
  <c r="G205" i="58" s="1"/>
  <c r="I24" i="58"/>
  <c r="J24" i="58" s="1"/>
  <c r="D181" i="58"/>
  <c r="G181" i="58" s="1"/>
  <c r="D121" i="58"/>
  <c r="G121" i="58" s="1"/>
  <c r="I78" i="58"/>
  <c r="I62" i="58"/>
  <c r="D90" i="58"/>
  <c r="G90" i="58" s="1"/>
  <c r="I136" i="58"/>
  <c r="I107" i="58"/>
  <c r="J107" i="58" s="1"/>
  <c r="I91" i="58"/>
  <c r="I73" i="58"/>
  <c r="J73" i="58" s="1"/>
  <c r="I57" i="58"/>
  <c r="J57" i="58" s="1"/>
  <c r="D29" i="58"/>
  <c r="G29" i="58" s="1"/>
  <c r="I178" i="58"/>
  <c r="I162" i="58"/>
  <c r="I111" i="58"/>
  <c r="J111" i="58" s="1"/>
  <c r="I95" i="58"/>
  <c r="I36" i="58"/>
  <c r="D77" i="58"/>
  <c r="G77" i="58" s="1"/>
  <c r="D47" i="58"/>
  <c r="G47" i="58" s="1"/>
  <c r="D34" i="49"/>
  <c r="G34" i="49" s="1"/>
  <c r="D30" i="49"/>
  <c r="G30" i="49" s="1"/>
  <c r="I26" i="49"/>
  <c r="I30" i="49"/>
  <c r="I34" i="49"/>
  <c r="D26" i="49"/>
  <c r="G26" i="49" s="1"/>
  <c r="I25" i="49"/>
  <c r="I29" i="49"/>
  <c r="I33" i="49"/>
  <c r="D24" i="49"/>
  <c r="G24" i="49" s="1"/>
  <c r="D32" i="49"/>
  <c r="G32" i="49" s="1"/>
  <c r="D36" i="49"/>
  <c r="G36" i="49" s="1"/>
  <c r="I36" i="49"/>
  <c r="I24" i="49"/>
  <c r="D25" i="49"/>
  <c r="G25" i="49" s="1"/>
  <c r="D29" i="49"/>
  <c r="G29" i="49" s="1"/>
  <c r="D33" i="49"/>
  <c r="G33" i="49" s="1"/>
  <c r="I32" i="49"/>
  <c r="J178" i="58" l="1"/>
  <c r="J177" i="58"/>
  <c r="J95" i="58"/>
  <c r="J78" i="58"/>
  <c r="J182" i="58"/>
  <c r="J59" i="58"/>
  <c r="J81" i="58"/>
  <c r="J124" i="58"/>
  <c r="J179" i="58"/>
  <c r="J142" i="58"/>
  <c r="J146" i="58"/>
  <c r="J18" i="58"/>
  <c r="J34" i="58"/>
  <c r="J40" i="58"/>
  <c r="J60" i="58"/>
  <c r="J93" i="58"/>
  <c r="J113" i="58"/>
  <c r="J149" i="58"/>
  <c r="J201" i="58"/>
  <c r="J66" i="58"/>
  <c r="J181" i="58"/>
  <c r="J212" i="58"/>
  <c r="J44" i="58"/>
  <c r="J64" i="58"/>
  <c r="J101" i="58"/>
  <c r="J157" i="58"/>
  <c r="J77" i="58"/>
  <c r="J33" i="58"/>
  <c r="J137" i="58"/>
  <c r="J150" i="58"/>
  <c r="J29" i="58"/>
  <c r="J38" i="58"/>
  <c r="J213" i="58"/>
  <c r="D166" i="58"/>
  <c r="G166" i="58" s="1"/>
  <c r="D148" i="58"/>
  <c r="G148" i="58" s="1"/>
  <c r="D144" i="58"/>
  <c r="G144" i="58" s="1"/>
  <c r="D123" i="58"/>
  <c r="G123" i="58" s="1"/>
  <c r="D99" i="58"/>
  <c r="G99" i="58" s="1"/>
  <c r="D75" i="58"/>
  <c r="G75" i="58" s="1"/>
  <c r="D67" i="58"/>
  <c r="G67" i="58" s="1"/>
  <c r="I123" i="58"/>
  <c r="J123" i="58" s="1"/>
  <c r="I61" i="58"/>
  <c r="I158" i="58"/>
  <c r="I68" i="58"/>
  <c r="I125" i="58"/>
  <c r="D125" i="58"/>
  <c r="G125" i="58" s="1"/>
  <c r="D68" i="58"/>
  <c r="G68" i="58" s="1"/>
  <c r="D158" i="58"/>
  <c r="G158" i="58" s="1"/>
  <c r="D61" i="58"/>
  <c r="G61" i="58" s="1"/>
  <c r="D86" i="58"/>
  <c r="G86" i="58" s="1"/>
  <c r="I148" i="58"/>
  <c r="J148" i="58" s="1"/>
  <c r="I75" i="58"/>
  <c r="J75" i="58" s="1"/>
  <c r="I166" i="58"/>
  <c r="I144" i="58"/>
  <c r="I99" i="58"/>
  <c r="J99" i="58" s="1"/>
  <c r="I67" i="58"/>
  <c r="J67" i="58" s="1"/>
  <c r="I86" i="58"/>
  <c r="J162" i="58"/>
  <c r="J90" i="58"/>
  <c r="J36" i="58"/>
  <c r="J91" i="58"/>
  <c r="J62" i="58"/>
  <c r="J53" i="58"/>
  <c r="J42" i="58"/>
  <c r="J17" i="58"/>
  <c r="J152" i="58"/>
  <c r="J41" i="58"/>
  <c r="J58" i="58"/>
  <c r="J130" i="58"/>
  <c r="J205" i="58"/>
  <c r="J30" i="58"/>
  <c r="J106" i="58"/>
  <c r="J56" i="58"/>
  <c r="J112" i="58"/>
  <c r="J85" i="58"/>
  <c r="J109" i="58"/>
  <c r="J145" i="58"/>
  <c r="J151" i="58"/>
  <c r="J185" i="58"/>
  <c r="J154" i="58"/>
  <c r="J188" i="58"/>
  <c r="J155" i="58"/>
  <c r="J136" i="58"/>
  <c r="J190" i="58"/>
  <c r="J102" i="58"/>
  <c r="J22" i="58"/>
  <c r="J118" i="58"/>
  <c r="J23" i="58"/>
  <c r="J26" i="58"/>
  <c r="J48" i="58"/>
  <c r="J84" i="58"/>
  <c r="J121" i="58"/>
  <c r="J105" i="58"/>
  <c r="J163" i="58"/>
  <c r="J169" i="58"/>
  <c r="J82" i="58"/>
  <c r="J47" i="58"/>
  <c r="J138" i="58"/>
  <c r="J172" i="58"/>
  <c r="J166" i="58" l="1"/>
  <c r="J61" i="58"/>
  <c r="J68" i="58"/>
  <c r="J158" i="58"/>
  <c r="J86" i="58"/>
  <c r="L17" i="58" s="1"/>
  <c r="J125" i="58"/>
  <c r="J144" i="58"/>
  <c r="C7" i="29" l="1"/>
  <c r="B5" i="29"/>
  <c r="E26" i="36"/>
  <c r="F24" i="36"/>
  <c r="C24" i="36"/>
  <c r="B24" i="36" s="1"/>
  <c r="F23" i="36"/>
  <c r="C23" i="36"/>
  <c r="B23" i="36" s="1"/>
  <c r="F22" i="36"/>
  <c r="C22" i="36"/>
  <c r="B22" i="36" s="1"/>
  <c r="F21" i="36"/>
  <c r="C21" i="36"/>
  <c r="B21" i="36" s="1"/>
  <c r="F20" i="36"/>
  <c r="G20" i="36" s="1"/>
  <c r="I9" i="36" s="1"/>
  <c r="C20" i="36"/>
  <c r="B20" i="36" s="1"/>
  <c r="B19" i="36"/>
  <c r="E15" i="36"/>
  <c r="F14" i="36"/>
  <c r="F11" i="36"/>
  <c r="E11" i="36"/>
  <c r="G4" i="36"/>
  <c r="F4" i="36"/>
  <c r="E4" i="36"/>
  <c r="D4" i="36"/>
  <c r="F24" i="35"/>
  <c r="C24" i="35"/>
  <c r="B24" i="35" s="1"/>
  <c r="F23" i="35"/>
  <c r="C23" i="35"/>
  <c r="B23" i="35"/>
  <c r="F22" i="35"/>
  <c r="C22" i="35"/>
  <c r="B22" i="35" s="1"/>
  <c r="F21" i="35"/>
  <c r="C21" i="35"/>
  <c r="B21" i="35" s="1"/>
  <c r="F20" i="35"/>
  <c r="G20" i="35" s="1"/>
  <c r="G21" i="35" s="1"/>
  <c r="G22" i="35" s="1"/>
  <c r="C20" i="35"/>
  <c r="B20" i="35" s="1"/>
  <c r="B19" i="35"/>
  <c r="E26" i="35"/>
  <c r="G4" i="35"/>
  <c r="F4" i="35"/>
  <c r="E4" i="35"/>
  <c r="D4" i="35"/>
  <c r="B3" i="33"/>
  <c r="E15" i="37"/>
  <c r="F26" i="35"/>
  <c r="G5" i="35"/>
  <c r="G5" i="36"/>
  <c r="D5" i="36"/>
  <c r="F5" i="35"/>
  <c r="F5" i="36"/>
  <c r="E5" i="36"/>
  <c r="F26" i="36"/>
  <c r="E5" i="35"/>
  <c r="E7" i="29"/>
  <c r="D5" i="35"/>
  <c r="F8" i="36" l="1"/>
  <c r="E12" i="36"/>
  <c r="E9" i="36"/>
  <c r="E13" i="36"/>
  <c r="E8" i="36"/>
  <c r="F10" i="36"/>
  <c r="F12" i="36"/>
  <c r="F15" i="36"/>
  <c r="D8" i="35"/>
  <c r="D9" i="35"/>
  <c r="D11" i="35"/>
  <c r="D14" i="35"/>
  <c r="D15" i="35"/>
  <c r="E8" i="35"/>
  <c r="E9" i="35"/>
  <c r="E10" i="35"/>
  <c r="E11" i="35"/>
  <c r="E12" i="35"/>
  <c r="E13" i="35"/>
  <c r="E14" i="35"/>
  <c r="E15" i="35"/>
  <c r="F8" i="35"/>
  <c r="F9" i="35"/>
  <c r="F10" i="35"/>
  <c r="F11" i="35"/>
  <c r="F12" i="35"/>
  <c r="F13" i="35"/>
  <c r="F14" i="35"/>
  <c r="F15" i="35"/>
  <c r="F9" i="36"/>
  <c r="E10" i="36"/>
  <c r="D11" i="36"/>
  <c r="G11" i="36" s="1"/>
  <c r="I11" i="36"/>
  <c r="F13" i="36"/>
  <c r="E14" i="36"/>
  <c r="D15" i="36"/>
  <c r="G15" i="36" s="1"/>
  <c r="I15" i="36"/>
  <c r="G21" i="36"/>
  <c r="G22" i="36" s="1"/>
  <c r="I8" i="36" s="1"/>
  <c r="D9" i="36"/>
  <c r="G9" i="36" s="1"/>
  <c r="G23" i="35"/>
  <c r="D12" i="35" s="1"/>
  <c r="G12" i="35" s="1"/>
  <c r="F26" i="33"/>
  <c r="E26" i="33"/>
  <c r="D26" i="33"/>
  <c r="G23" i="33"/>
  <c r="F23" i="33"/>
  <c r="E23" i="33"/>
  <c r="D23" i="33"/>
  <c r="E21" i="33"/>
  <c r="B21" i="33"/>
  <c r="B8" i="33" s="1"/>
  <c r="E20" i="33"/>
  <c r="B20" i="33"/>
  <c r="B7" i="33" s="1"/>
  <c r="E19" i="33"/>
  <c r="B19" i="33"/>
  <c r="B6" i="33" s="1"/>
  <c r="E18" i="33"/>
  <c r="B18" i="33"/>
  <c r="E17" i="33"/>
  <c r="F17" i="33" s="1"/>
  <c r="F18" i="33" s="1"/>
  <c r="F19" i="33" s="1"/>
  <c r="F20" i="33" s="1"/>
  <c r="F21" i="33" s="1"/>
  <c r="B17" i="33"/>
  <c r="B4" i="33" s="1"/>
  <c r="F11" i="33"/>
  <c r="E11" i="33"/>
  <c r="B11" i="33"/>
  <c r="D4" i="22"/>
  <c r="E4" i="22"/>
  <c r="F4" i="22"/>
  <c r="G4" i="22"/>
  <c r="G5" i="22"/>
  <c r="F5" i="22"/>
  <c r="E5" i="22"/>
  <c r="D5" i="22"/>
  <c r="F24" i="33"/>
  <c r="E24" i="33"/>
  <c r="B12" i="33"/>
  <c r="E12" i="33"/>
  <c r="D24" i="33"/>
  <c r="G24" i="33"/>
  <c r="F12" i="33"/>
  <c r="F30" i="33" l="1"/>
  <c r="G14" i="35"/>
  <c r="D13" i="35"/>
  <c r="G13" i="35" s="1"/>
  <c r="G9" i="35"/>
  <c r="G8" i="35"/>
  <c r="D34" i="33"/>
  <c r="I34" i="33"/>
  <c r="I30" i="33"/>
  <c r="I27" i="33"/>
  <c r="I33" i="33"/>
  <c r="I29" i="33"/>
  <c r="I32" i="33"/>
  <c r="I28" i="33"/>
  <c r="I31" i="33"/>
  <c r="B5" i="33"/>
  <c r="F33" i="33"/>
  <c r="G15" i="35"/>
  <c r="G11" i="35"/>
  <c r="I14" i="36"/>
  <c r="D14" i="36"/>
  <c r="G14" i="36" s="1"/>
  <c r="G23" i="36"/>
  <c r="D8" i="36"/>
  <c r="G8" i="36" s="1"/>
  <c r="G24" i="35"/>
  <c r="D10" i="35" s="1"/>
  <c r="G10" i="35" s="1"/>
  <c r="E27" i="33"/>
  <c r="E28" i="33"/>
  <c r="E29" i="33"/>
  <c r="E30" i="33"/>
  <c r="E31" i="33"/>
  <c r="E32" i="33"/>
  <c r="E33" i="33"/>
  <c r="E34" i="33"/>
  <c r="F27" i="33"/>
  <c r="F28" i="33"/>
  <c r="F29" i="33"/>
  <c r="F31" i="33"/>
  <c r="F32" i="33"/>
  <c r="F34" i="33"/>
  <c r="D27" i="33"/>
  <c r="D28" i="33"/>
  <c r="G28" i="33" s="1"/>
  <c r="D29" i="33"/>
  <c r="G29" i="33" s="1"/>
  <c r="D30" i="33"/>
  <c r="D31" i="33"/>
  <c r="D32" i="33"/>
  <c r="G32" i="33" s="1"/>
  <c r="D33" i="33"/>
  <c r="G33" i="33" s="1"/>
  <c r="E45" i="30"/>
  <c r="F45" i="30" s="1"/>
  <c r="B45" i="30"/>
  <c r="E44" i="30"/>
  <c r="F44" i="30" s="1"/>
  <c r="B44" i="30"/>
  <c r="E43" i="30"/>
  <c r="F43" i="30" s="1"/>
  <c r="B43" i="30"/>
  <c r="E42" i="30"/>
  <c r="F42" i="30" s="1"/>
  <c r="B42" i="30"/>
  <c r="E41" i="30"/>
  <c r="F41" i="30" s="1"/>
  <c r="B41" i="30"/>
  <c r="E40" i="30"/>
  <c r="F40" i="30" s="1"/>
  <c r="B40" i="30"/>
  <c r="E39" i="30"/>
  <c r="F39" i="30" s="1"/>
  <c r="B39" i="30"/>
  <c r="E38" i="30"/>
  <c r="F38" i="30" s="1"/>
  <c r="B38" i="30"/>
  <c r="E37" i="30"/>
  <c r="F37" i="30" s="1"/>
  <c r="B37" i="30"/>
  <c r="E36" i="30"/>
  <c r="F36" i="30" s="1"/>
  <c r="B36" i="30"/>
  <c r="E35" i="30"/>
  <c r="F35" i="30" s="1"/>
  <c r="B35" i="30"/>
  <c r="E34" i="30"/>
  <c r="F34" i="30" s="1"/>
  <c r="B34" i="30"/>
  <c r="E33" i="30"/>
  <c r="F33" i="30" s="1"/>
  <c r="B33" i="30"/>
  <c r="E32" i="30"/>
  <c r="F32" i="30" s="1"/>
  <c r="B32" i="30"/>
  <c r="F31" i="30"/>
  <c r="E31" i="30"/>
  <c r="B31" i="30"/>
  <c r="E30" i="30"/>
  <c r="F30" i="30" s="1"/>
  <c r="B30" i="30"/>
  <c r="E29" i="30"/>
  <c r="F29" i="30" s="1"/>
  <c r="B29" i="30"/>
  <c r="E28" i="30"/>
  <c r="F28" i="30" s="1"/>
  <c r="B28" i="30"/>
  <c r="E27" i="30"/>
  <c r="F27" i="30" s="1"/>
  <c r="B27" i="30"/>
  <c r="E26" i="30"/>
  <c r="F26" i="30" s="1"/>
  <c r="B26" i="30"/>
  <c r="E25" i="30"/>
  <c r="F25" i="30" s="1"/>
  <c r="B25" i="30"/>
  <c r="E24" i="30"/>
  <c r="F24" i="30" s="1"/>
  <c r="B24" i="30"/>
  <c r="E23" i="30"/>
  <c r="F23" i="30" s="1"/>
  <c r="B23" i="30"/>
  <c r="E22" i="30"/>
  <c r="F22" i="30" s="1"/>
  <c r="B22" i="30"/>
  <c r="E21" i="30"/>
  <c r="F21" i="30" s="1"/>
  <c r="B21" i="30"/>
  <c r="E20" i="30"/>
  <c r="F20" i="30" s="1"/>
  <c r="B20" i="30"/>
  <c r="F19" i="30"/>
  <c r="E19" i="30"/>
  <c r="B19" i="30"/>
  <c r="E18" i="30"/>
  <c r="F18" i="30" s="1"/>
  <c r="B18" i="30"/>
  <c r="E17" i="30"/>
  <c r="F17" i="30" s="1"/>
  <c r="B17" i="30"/>
  <c r="E16" i="30"/>
  <c r="F16" i="30" s="1"/>
  <c r="B16" i="30"/>
  <c r="F12" i="30"/>
  <c r="E12" i="30"/>
  <c r="F12" i="28"/>
  <c r="E12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16" i="28"/>
  <c r="B17" i="28"/>
  <c r="B18" i="28"/>
  <c r="B19" i="28"/>
  <c r="B20" i="28"/>
  <c r="B21" i="28"/>
  <c r="B22" i="28"/>
  <c r="B23" i="28"/>
  <c r="B24" i="28"/>
  <c r="B25" i="28"/>
  <c r="B5" i="27"/>
  <c r="E42" i="3"/>
  <c r="B42" i="3"/>
  <c r="E41" i="3"/>
  <c r="B41" i="3"/>
  <c r="E40" i="3"/>
  <c r="B40" i="3"/>
  <c r="E39" i="3"/>
  <c r="B39" i="3"/>
  <c r="F38" i="3"/>
  <c r="F39" i="3" s="1"/>
  <c r="F40" i="3" s="1"/>
  <c r="F41" i="3" s="1"/>
  <c r="F42" i="3" s="1"/>
  <c r="E38" i="3"/>
  <c r="B38" i="3"/>
  <c r="E32" i="3"/>
  <c r="E31" i="3"/>
  <c r="E30" i="3"/>
  <c r="E29" i="3"/>
  <c r="E28" i="3"/>
  <c r="F28" i="3" s="1"/>
  <c r="F10" i="24"/>
  <c r="C10" i="24"/>
  <c r="B10" i="24" s="1"/>
  <c r="F9" i="24"/>
  <c r="C9" i="24"/>
  <c r="B9" i="24" s="1"/>
  <c r="F8" i="24"/>
  <c r="C8" i="24"/>
  <c r="B8" i="24" s="1"/>
  <c r="F7" i="24"/>
  <c r="C7" i="24"/>
  <c r="F6" i="24"/>
  <c r="G6" i="24" s="1"/>
  <c r="G7" i="24" s="1"/>
  <c r="G8" i="24" s="1"/>
  <c r="G9" i="24" s="1"/>
  <c r="C6" i="24"/>
  <c r="B6" i="24" s="1"/>
  <c r="B5" i="24"/>
  <c r="F24" i="23"/>
  <c r="C24" i="23"/>
  <c r="B24" i="23" s="1"/>
  <c r="F23" i="23"/>
  <c r="E12" i="23" s="1"/>
  <c r="C23" i="23"/>
  <c r="B23" i="23" s="1"/>
  <c r="F22" i="23"/>
  <c r="C22" i="23"/>
  <c r="F14" i="23" s="1"/>
  <c r="F21" i="23"/>
  <c r="C21" i="23"/>
  <c r="B21" i="23"/>
  <c r="F20" i="23"/>
  <c r="G20" i="23" s="1"/>
  <c r="C20" i="23"/>
  <c r="B20" i="23" s="1"/>
  <c r="B19" i="23"/>
  <c r="F13" i="23"/>
  <c r="F12" i="23"/>
  <c r="I11" i="23"/>
  <c r="F11" i="23"/>
  <c r="E11" i="23"/>
  <c r="D11" i="23"/>
  <c r="F10" i="23"/>
  <c r="E10" i="23"/>
  <c r="F9" i="23"/>
  <c r="I4" i="23"/>
  <c r="G4" i="23"/>
  <c r="F4" i="23"/>
  <c r="E4" i="23"/>
  <c r="D4" i="23"/>
  <c r="F13" i="28"/>
  <c r="E13" i="28"/>
  <c r="E7" i="27"/>
  <c r="E15" i="24"/>
  <c r="D5" i="23"/>
  <c r="E14" i="24"/>
  <c r="G5" i="23"/>
  <c r="E13" i="30"/>
  <c r="E5" i="23"/>
  <c r="I5" i="23"/>
  <c r="E16" i="24"/>
  <c r="F5" i="23"/>
  <c r="E13" i="24"/>
  <c r="F13" i="30"/>
  <c r="E8" i="23" l="1"/>
  <c r="G21" i="23"/>
  <c r="E14" i="23"/>
  <c r="F47" i="30"/>
  <c r="E15" i="23"/>
  <c r="C14" i="24"/>
  <c r="G30" i="33"/>
  <c r="F15" i="23"/>
  <c r="B22" i="23"/>
  <c r="F8" i="23"/>
  <c r="G11" i="23"/>
  <c r="G22" i="23"/>
  <c r="D14" i="23" s="1"/>
  <c r="G14" i="23" s="1"/>
  <c r="B7" i="24"/>
  <c r="C15" i="24"/>
  <c r="G31" i="33"/>
  <c r="G27" i="33"/>
  <c r="G36" i="33" s="1"/>
  <c r="G34" i="33"/>
  <c r="D12" i="36"/>
  <c r="G12" i="36" s="1"/>
  <c r="I13" i="36"/>
  <c r="D13" i="36"/>
  <c r="G13" i="36" s="1"/>
  <c r="G24" i="36"/>
  <c r="I12" i="36"/>
  <c r="F29" i="3"/>
  <c r="F30" i="3" s="1"/>
  <c r="F31" i="3" s="1"/>
  <c r="F32" i="3" s="1"/>
  <c r="G10" i="24"/>
  <c r="C13" i="24"/>
  <c r="C16" i="24" s="1"/>
  <c r="D8" i="23"/>
  <c r="I14" i="23"/>
  <c r="I15" i="23"/>
  <c r="D15" i="23"/>
  <c r="D9" i="23"/>
  <c r="I9" i="23"/>
  <c r="E9" i="23"/>
  <c r="E13" i="23"/>
  <c r="G15" i="23" l="1"/>
  <c r="G8" i="23"/>
  <c r="G23" i="23"/>
  <c r="D12" i="23" s="1"/>
  <c r="G12" i="23" s="1"/>
  <c r="I8" i="23"/>
  <c r="D10" i="36"/>
  <c r="G10" i="36" s="1"/>
  <c r="I10" i="36"/>
  <c r="G9" i="23"/>
  <c r="I12" i="23"/>
  <c r="D13" i="23"/>
  <c r="G13" i="23" s="1"/>
  <c r="G24" i="23"/>
  <c r="E16" i="19"/>
  <c r="E15" i="19"/>
  <c r="E14" i="19"/>
  <c r="E13" i="19"/>
  <c r="I13" i="23" l="1"/>
  <c r="I10" i="23"/>
  <c r="D10" i="23"/>
  <c r="G10" i="23" s="1"/>
  <c r="C27" i="17" l="1"/>
  <c r="F23" i="17"/>
  <c r="C23" i="17"/>
  <c r="B23" i="17" s="1"/>
  <c r="B9" i="17" s="1"/>
  <c r="F22" i="17"/>
  <c r="C22" i="17"/>
  <c r="B22" i="17" s="1"/>
  <c r="B8" i="17" s="1"/>
  <c r="F21" i="17"/>
  <c r="C21" i="17"/>
  <c r="B21" i="17" s="1"/>
  <c r="B7" i="17" s="1"/>
  <c r="F20" i="17"/>
  <c r="C20" i="17"/>
  <c r="F19" i="17"/>
  <c r="G19" i="17" s="1"/>
  <c r="C19" i="17"/>
  <c r="B19" i="17" s="1"/>
  <c r="B5" i="17" s="1"/>
  <c r="B18" i="17"/>
  <c r="B4" i="17" s="1"/>
  <c r="G13" i="17"/>
  <c r="F13" i="17"/>
  <c r="C13" i="17"/>
  <c r="B13" i="17"/>
  <c r="B2" i="17"/>
  <c r="F34" i="15"/>
  <c r="F33" i="15"/>
  <c r="F32" i="15"/>
  <c r="E27" i="15"/>
  <c r="E26" i="15"/>
  <c r="E26" i="17"/>
  <c r="F14" i="17"/>
  <c r="F34" i="17"/>
  <c r="F33" i="17"/>
  <c r="F32" i="17"/>
  <c r="E27" i="17"/>
  <c r="C14" i="17"/>
  <c r="B14" i="17"/>
  <c r="G14" i="17"/>
  <c r="G20" i="17" l="1"/>
  <c r="D33" i="17"/>
  <c r="O33" i="17"/>
  <c r="G21" i="17"/>
  <c r="D32" i="17" s="1"/>
  <c r="B20" i="17"/>
  <c r="B6" i="17" s="1"/>
  <c r="B2" i="15"/>
  <c r="B85" i="16"/>
  <c r="F79" i="16"/>
  <c r="C79" i="16"/>
  <c r="B79" i="16" s="1"/>
  <c r="F78" i="16"/>
  <c r="C78" i="16"/>
  <c r="F77" i="16"/>
  <c r="C77" i="16"/>
  <c r="B77" i="16" s="1"/>
  <c r="F76" i="16"/>
  <c r="C76" i="16"/>
  <c r="B76" i="16"/>
  <c r="F75" i="16"/>
  <c r="G75" i="16" s="1"/>
  <c r="C75" i="16"/>
  <c r="B75" i="16" s="1"/>
  <c r="B74" i="16"/>
  <c r="A74" i="16"/>
  <c r="B68" i="16"/>
  <c r="B60" i="16"/>
  <c r="C57" i="16"/>
  <c r="F54" i="16"/>
  <c r="C54" i="16"/>
  <c r="B54" i="16"/>
  <c r="F53" i="16"/>
  <c r="G53" i="16" s="1"/>
  <c r="C53" i="16"/>
  <c r="B62" i="16" s="1"/>
  <c r="B52" i="16"/>
  <c r="B46" i="16"/>
  <c r="B38" i="16"/>
  <c r="F32" i="16"/>
  <c r="C32" i="16"/>
  <c r="B32" i="16" s="1"/>
  <c r="F31" i="16"/>
  <c r="G31" i="16" s="1"/>
  <c r="C35" i="16" s="1"/>
  <c r="C31" i="16"/>
  <c r="B42" i="16" s="1"/>
  <c r="B30" i="16"/>
  <c r="B24" i="16"/>
  <c r="B16" i="16"/>
  <c r="F10" i="16"/>
  <c r="C10" i="16"/>
  <c r="B10" i="16" s="1"/>
  <c r="F9" i="16"/>
  <c r="G9" i="16" s="1"/>
  <c r="C9" i="16"/>
  <c r="A8" i="16" s="1"/>
  <c r="B8" i="16"/>
  <c r="B2" i="16"/>
  <c r="F76" i="10"/>
  <c r="F77" i="10"/>
  <c r="F78" i="10"/>
  <c r="F79" i="10"/>
  <c r="F75" i="10"/>
  <c r="G75" i="10" s="1"/>
  <c r="C75" i="10"/>
  <c r="B75" i="10" s="1"/>
  <c r="C76" i="10"/>
  <c r="B76" i="10" s="1"/>
  <c r="C77" i="10"/>
  <c r="C78" i="10"/>
  <c r="B78" i="10" s="1"/>
  <c r="C79" i="10"/>
  <c r="B85" i="10"/>
  <c r="B74" i="10"/>
  <c r="B68" i="10"/>
  <c r="E19" i="14"/>
  <c r="E16" i="14"/>
  <c r="C15" i="14"/>
  <c r="C17" i="14" s="1"/>
  <c r="E14" i="14"/>
  <c r="C13" i="14"/>
  <c r="C12" i="14"/>
  <c r="E11" i="14"/>
  <c r="E10" i="14"/>
  <c r="E9" i="14"/>
  <c r="B60" i="10"/>
  <c r="F54" i="10"/>
  <c r="C54" i="10"/>
  <c r="B54" i="10" s="1"/>
  <c r="F53" i="10"/>
  <c r="C53" i="10"/>
  <c r="A53" i="10" s="1"/>
  <c r="B52" i="10"/>
  <c r="B46" i="10"/>
  <c r="B38" i="10"/>
  <c r="F32" i="10"/>
  <c r="C32" i="10"/>
  <c r="B32" i="10" s="1"/>
  <c r="G31" i="10"/>
  <c r="F31" i="10"/>
  <c r="C31" i="10"/>
  <c r="B30" i="10"/>
  <c r="B24" i="10"/>
  <c r="B2" i="10"/>
  <c r="B16" i="10"/>
  <c r="E35" i="10"/>
  <c r="E15" i="14"/>
  <c r="E35" i="16"/>
  <c r="E13" i="14"/>
  <c r="E18" i="14"/>
  <c r="E57" i="16"/>
  <c r="E17" i="14"/>
  <c r="E20" i="14"/>
  <c r="E12" i="14"/>
  <c r="E21" i="14"/>
  <c r="A31" i="10" l="1"/>
  <c r="A77" i="10"/>
  <c r="A30" i="16"/>
  <c r="A52" i="16"/>
  <c r="A75" i="16"/>
  <c r="A78" i="16"/>
  <c r="C18" i="14"/>
  <c r="C20" i="14" s="1"/>
  <c r="C21" i="14" s="1"/>
  <c r="A79" i="10"/>
  <c r="G76" i="10"/>
  <c r="G77" i="10"/>
  <c r="G78" i="10" s="1"/>
  <c r="G79" i="10" s="1"/>
  <c r="A78" i="10"/>
  <c r="B79" i="10"/>
  <c r="B42" i="10"/>
  <c r="A74" i="10"/>
  <c r="A76" i="10"/>
  <c r="B77" i="10"/>
  <c r="A31" i="16"/>
  <c r="B41" i="16"/>
  <c r="A54" i="16"/>
  <c r="B78" i="16"/>
  <c r="A75" i="10"/>
  <c r="G54" i="16"/>
  <c r="G76" i="16"/>
  <c r="G77" i="16" s="1"/>
  <c r="G78" i="16" s="1"/>
  <c r="A10" i="16"/>
  <c r="G32" i="16"/>
  <c r="G10" i="16"/>
  <c r="O13" i="16" s="1"/>
  <c r="O32" i="17"/>
  <c r="G22" i="17"/>
  <c r="B17" i="16"/>
  <c r="B21" i="16"/>
  <c r="O35" i="16"/>
  <c r="A9" i="16"/>
  <c r="B19" i="16"/>
  <c r="B43" i="16"/>
  <c r="A53" i="16"/>
  <c r="O57" i="16"/>
  <c r="B63" i="16"/>
  <c r="A77" i="16"/>
  <c r="B9" i="16"/>
  <c r="B40" i="16"/>
  <c r="B53" i="16"/>
  <c r="B64" i="16"/>
  <c r="B88" i="16"/>
  <c r="B61" i="16"/>
  <c r="B65" i="16"/>
  <c r="A79" i="16"/>
  <c r="B89" i="16"/>
  <c r="B31" i="16"/>
  <c r="B39" i="16" s="1"/>
  <c r="A32" i="16"/>
  <c r="A76" i="16"/>
  <c r="B86" i="16"/>
  <c r="B88" i="10"/>
  <c r="B89" i="10"/>
  <c r="B86" i="10"/>
  <c r="A52" i="10"/>
  <c r="B64" i="10"/>
  <c r="A30" i="10"/>
  <c r="A54" i="10"/>
  <c r="G32" i="10"/>
  <c r="B53" i="10"/>
  <c r="A32" i="10"/>
  <c r="B65" i="10"/>
  <c r="B62" i="10"/>
  <c r="G53" i="10"/>
  <c r="O57" i="10"/>
  <c r="B63" i="10"/>
  <c r="B61" i="10"/>
  <c r="B43" i="10"/>
  <c r="B40" i="10"/>
  <c r="O35" i="10"/>
  <c r="B41" i="10"/>
  <c r="B31" i="10"/>
  <c r="B39" i="10" s="1"/>
  <c r="F10" i="10"/>
  <c r="C10" i="10"/>
  <c r="B10" i="10" s="1"/>
  <c r="F9" i="10"/>
  <c r="G9" i="10" s="1"/>
  <c r="C9" i="10"/>
  <c r="B8" i="10"/>
  <c r="E9" i="6"/>
  <c r="E10" i="6"/>
  <c r="E11" i="6"/>
  <c r="E14" i="6"/>
  <c r="E16" i="6"/>
  <c r="E19" i="6"/>
  <c r="E12" i="6"/>
  <c r="E15" i="6"/>
  <c r="E21" i="6"/>
  <c r="E20" i="6"/>
  <c r="E57" i="10"/>
  <c r="E18" i="6"/>
  <c r="E13" i="6"/>
  <c r="E17" i="6"/>
  <c r="E82" i="10"/>
  <c r="E13" i="16"/>
  <c r="E82" i="16"/>
  <c r="C13" i="16" l="1"/>
  <c r="B20" i="16" s="1"/>
  <c r="B18" i="16"/>
  <c r="C26" i="17"/>
  <c r="G23" i="17"/>
  <c r="O25" i="17"/>
  <c r="C82" i="16"/>
  <c r="G79" i="16"/>
  <c r="B87" i="16"/>
  <c r="B90" i="16"/>
  <c r="O82" i="16"/>
  <c r="B87" i="10"/>
  <c r="B90" i="10"/>
  <c r="O82" i="10"/>
  <c r="A8" i="10"/>
  <c r="B19" i="10"/>
  <c r="A10" i="10"/>
  <c r="A9" i="10"/>
  <c r="G54" i="10"/>
  <c r="B9" i="10"/>
  <c r="B17" i="10"/>
  <c r="G10" i="10"/>
  <c r="E13" i="10"/>
  <c r="D34" i="17" l="1"/>
  <c r="O34" i="17"/>
  <c r="B20" i="10"/>
  <c r="O13" i="10"/>
  <c r="B18" i="10"/>
  <c r="B21" i="10"/>
  <c r="E5" i="5"/>
  <c r="G10" i="5"/>
  <c r="G13" i="5"/>
</calcChain>
</file>

<file path=xl/sharedStrings.xml><?xml version="1.0" encoding="utf-8"?>
<sst xmlns="http://schemas.openxmlformats.org/spreadsheetml/2006/main" count="1702" uniqueCount="499">
  <si>
    <t>Excel &amp; Business Math 33</t>
  </si>
  <si>
    <t>VLOOKUP Function for Incentive Pay: Commissions and Piecework</t>
  </si>
  <si>
    <t>Topics:</t>
  </si>
  <si>
    <t>Incentive Pay Rates</t>
  </si>
  <si>
    <r>
      <rPr>
        <b/>
        <u/>
        <sz val="11"/>
        <color theme="1"/>
        <rFont val="Calibri"/>
        <family val="2"/>
        <scheme val="minor"/>
      </rPr>
      <t>Incentive pay</t>
    </r>
    <r>
      <rPr>
        <sz val="11"/>
        <color theme="1"/>
        <rFont val="Calibri"/>
        <family val="2"/>
        <scheme val="minor"/>
      </rPr>
      <t>: the more you make or sell, the more you are paid.</t>
    </r>
  </si>
  <si>
    <t>Examples:</t>
  </si>
  <si>
    <t>Boomerang Company Pays employees in various ways:</t>
  </si>
  <si>
    <t>Employees making boomerangs may have a contact that says:</t>
  </si>
  <si>
    <t>Employees making sales calls may have a contact that says:</t>
  </si>
  <si>
    <t>Looking things up in Lookup Tables is a common task in business, accounting and other professions.</t>
  </si>
  <si>
    <t>Almost all Lookup Tables are Vertical because the first column contains the item that we try to match, and items are listed vertically.</t>
  </si>
  <si>
    <t>Examples of Looking up items in a Vertical Lookup Table:</t>
  </si>
  <si>
    <t>If your sales are $6000, what is your commission?</t>
  </si>
  <si>
    <t>Your Sales</t>
  </si>
  <si>
    <t>Commission</t>
  </si>
  <si>
    <t>What is the price for Quad?</t>
  </si>
  <si>
    <t>Product</t>
  </si>
  <si>
    <t>Supplier</t>
  </si>
  <si>
    <t>Price</t>
  </si>
  <si>
    <t>Flying Eagle</t>
  </si>
  <si>
    <t>Channel Craft</t>
  </si>
  <si>
    <t>V Range</t>
  </si>
  <si>
    <t>Quad</t>
  </si>
  <si>
    <t>Gel Boom</t>
  </si>
  <si>
    <t>Bellen</t>
  </si>
  <si>
    <t>Carlota</t>
  </si>
  <si>
    <t>Sales Lower Limit</t>
  </si>
  <si>
    <t>What is "Chukes, Hal" Zip Code?</t>
  </si>
  <si>
    <t>Employee</t>
  </si>
  <si>
    <t>Address</t>
  </si>
  <si>
    <t>City</t>
  </si>
  <si>
    <t>State</t>
  </si>
  <si>
    <t>Zip</t>
  </si>
  <si>
    <t>E-mail</t>
  </si>
  <si>
    <t>Phone</t>
  </si>
  <si>
    <t>Hire Date</t>
  </si>
  <si>
    <t>Salary</t>
  </si>
  <si>
    <t>June, Aler</t>
  </si>
  <si>
    <t>3557 1st St.</t>
  </si>
  <si>
    <t>Seattle</t>
  </si>
  <si>
    <t>WA</t>
  </si>
  <si>
    <t>JNV@yahoo.com</t>
  </si>
  <si>
    <t>206-594-4524</t>
  </si>
  <si>
    <t>Acero, Natisha</t>
  </si>
  <si>
    <t>6281 173rd St.</t>
  </si>
  <si>
    <t>Tacoma</t>
  </si>
  <si>
    <t>HDT641@fun.edu</t>
  </si>
  <si>
    <t>253-831-6211</t>
  </si>
  <si>
    <t>Bruess, Natisha</t>
  </si>
  <si>
    <t>7149 1st Ave.</t>
  </si>
  <si>
    <t>YSE222@fun.edu</t>
  </si>
  <si>
    <t>206-817-3217</t>
  </si>
  <si>
    <t>Chukes, Hal</t>
  </si>
  <si>
    <t>7726 66th Ave.</t>
  </si>
  <si>
    <t>MGF675@fun.edu</t>
  </si>
  <si>
    <t>253-522-4565</t>
  </si>
  <si>
    <t>Dahnke, Georgeann</t>
  </si>
  <si>
    <t>316 66th Blvd. 151st St.</t>
  </si>
  <si>
    <t>Kent</t>
  </si>
  <si>
    <t>RWN@fun.edu</t>
  </si>
  <si>
    <t>253-716-7665</t>
  </si>
  <si>
    <t>Dillaman, Darius</t>
  </si>
  <si>
    <t>965 151st St.</t>
  </si>
  <si>
    <t>MJG@yahoo.com</t>
  </si>
  <si>
    <t>253-585-7294</t>
  </si>
  <si>
    <t>Durtschi, Dane</t>
  </si>
  <si>
    <t>7582 4th Lane</t>
  </si>
  <si>
    <t>KVC@gmail.com</t>
  </si>
  <si>
    <t>253-860-3024</t>
  </si>
  <si>
    <t>Fila, Bryon</t>
  </si>
  <si>
    <t>1654 66th St.</t>
  </si>
  <si>
    <t>QKC@gmail.com</t>
  </si>
  <si>
    <t>206-801-4535</t>
  </si>
  <si>
    <t>Fukumoto, Marvis</t>
  </si>
  <si>
    <t>3653 4th Blvd.</t>
  </si>
  <si>
    <t>PKF@yahoo.com</t>
  </si>
  <si>
    <t>206-563-8203</t>
  </si>
  <si>
    <t>General, Marlin</t>
  </si>
  <si>
    <t>7900 173rd Lane</t>
  </si>
  <si>
    <t>KFP@yahoo.com</t>
  </si>
  <si>
    <t>253-547-6428</t>
  </si>
  <si>
    <t>If your Income is $3000, what is your tax?</t>
  </si>
  <si>
    <t>Income</t>
  </si>
  <si>
    <t>Tax</t>
  </si>
  <si>
    <t>What Region does "Miles, Josefina" represent?</t>
  </si>
  <si>
    <t>Sales Rep</t>
  </si>
  <si>
    <t>Region</t>
  </si>
  <si>
    <t>Anderson, Robin</t>
  </si>
  <si>
    <t>Midwest</t>
  </si>
  <si>
    <t>Bryan, Viola</t>
  </si>
  <si>
    <t>West</t>
  </si>
  <si>
    <t>Gonzalez, Danny</t>
  </si>
  <si>
    <t>East</t>
  </si>
  <si>
    <t>Miles, Josefina</t>
  </si>
  <si>
    <t>Southwest</t>
  </si>
  <si>
    <t>Nguyen, Sheldon</t>
  </si>
  <si>
    <t>Nichols, Claudia</t>
  </si>
  <si>
    <t>Northwest</t>
  </si>
  <si>
    <t>Pittman, Otis</t>
  </si>
  <si>
    <t>Richardson, Kristina</t>
  </si>
  <si>
    <t>Rodgers, Bob</t>
  </si>
  <si>
    <t>Stokes, Taylor</t>
  </si>
  <si>
    <t>Category</t>
  </si>
  <si>
    <t>Item Made</t>
  </si>
  <si>
    <t>Pay per 1 Made</t>
  </si>
  <si>
    <t>Small Lamps</t>
  </si>
  <si>
    <t>Shades</t>
  </si>
  <si>
    <t>Large Lamps</t>
  </si>
  <si>
    <t>Total</t>
  </si>
  <si>
    <t>Ex 1</t>
  </si>
  <si>
    <t>Gross Pay</t>
  </si>
  <si>
    <t>Pay per 1 Bellen Boomerang</t>
  </si>
  <si>
    <t>Ex 2</t>
  </si>
  <si>
    <t># of Bellens made</t>
  </si>
  <si>
    <t>Number Made</t>
  </si>
  <si>
    <t>Ex 3</t>
  </si>
  <si>
    <t>Boomerangs Made</t>
  </si>
  <si>
    <t>Gross Pay #1</t>
  </si>
  <si>
    <t>Employee made 137 boomerangs.</t>
  </si>
  <si>
    <r>
      <rPr>
        <b/>
        <sz val="11"/>
        <color theme="1"/>
        <rFont val="Calibri"/>
        <family val="2"/>
        <scheme val="minor"/>
      </rPr>
      <t>Goal:</t>
    </r>
    <r>
      <rPr>
        <sz val="11"/>
        <color theme="1"/>
        <rFont val="Calibri"/>
        <family val="2"/>
        <scheme val="minor"/>
      </rPr>
      <t xml:space="preserve"> Calculate Gross Pay for Straight Piecework.</t>
    </r>
  </si>
  <si>
    <r>
      <rPr>
        <b/>
        <sz val="11"/>
        <color theme="1"/>
        <rFont val="Calibri"/>
        <family val="2"/>
        <scheme val="minor"/>
      </rPr>
      <t>Contact reads:</t>
    </r>
    <r>
      <rPr>
        <sz val="11"/>
        <color theme="1"/>
        <rFont val="Calibri"/>
        <family val="2"/>
        <scheme val="minor"/>
      </rPr>
      <t xml:space="preserve"> Pay $1.35 per one Bellen Boomerang made.</t>
    </r>
  </si>
  <si>
    <r>
      <rPr>
        <b/>
        <sz val="11"/>
        <color theme="1"/>
        <rFont val="Calibri"/>
        <family val="2"/>
        <scheme val="minor"/>
      </rPr>
      <t>Contact reads:</t>
    </r>
    <r>
      <rPr>
        <sz val="11"/>
        <color theme="1"/>
        <rFont val="Calibri"/>
        <family val="2"/>
        <scheme val="minor"/>
      </rPr>
      <t xml:space="preserve"> Pay straight rate: Small Lamps@ $1.01, Shades@ $0.275, Large Lamps@ $1.275.</t>
    </r>
  </si>
  <si>
    <t>$1.05 for 1 - 75 Boomerangs.</t>
  </si>
  <si>
    <t>$1.35 for 76 - 120 Boomerangs.</t>
  </si>
  <si>
    <t>$1.75 for 121 or more Boomerangs.</t>
  </si>
  <si>
    <t>more</t>
  </si>
  <si>
    <t>Pay per Unit</t>
  </si>
  <si>
    <r>
      <rPr>
        <b/>
        <sz val="11"/>
        <color theme="1"/>
        <rFont val="Calibri"/>
        <family val="2"/>
        <scheme val="minor"/>
      </rPr>
      <t>Contact reads</t>
    </r>
    <r>
      <rPr>
        <sz val="11"/>
        <color theme="1"/>
        <rFont val="Calibri"/>
        <family val="2"/>
        <scheme val="minor"/>
      </rPr>
      <t>: Pay Rate:</t>
    </r>
  </si>
  <si>
    <t>Units Lower Limit</t>
  </si>
  <si>
    <t>Units Upper Limit</t>
  </si>
  <si>
    <t>Number Made Through Previous Category</t>
  </si>
  <si>
    <t>Long Method:</t>
  </si>
  <si>
    <t>Gross Pay #2</t>
  </si>
  <si>
    <t>Gross Pay #3</t>
  </si>
  <si>
    <t>Total Gross Pay</t>
  </si>
  <si>
    <t xml:space="preserve">  </t>
  </si>
  <si>
    <t>More</t>
  </si>
  <si>
    <t>Check:</t>
  </si>
  <si>
    <t>Bellen Boomerang:</t>
  </si>
  <si>
    <r>
      <rPr>
        <b/>
        <u/>
        <sz val="11"/>
        <color theme="1"/>
        <rFont val="Calibri"/>
        <family val="2"/>
        <scheme val="minor"/>
      </rPr>
      <t>Variable Piecework Rate</t>
    </r>
    <r>
      <rPr>
        <sz val="11"/>
        <color theme="1"/>
        <rFont val="Calibri"/>
        <family val="2"/>
        <scheme val="minor"/>
      </rPr>
      <t>: Manufacturer gets paid a different rate based on quantity made:</t>
    </r>
  </si>
  <si>
    <t>This means you get paid based on your performance, such as "How Many Items You Made" or "How Much You Sold".</t>
  </si>
  <si>
    <r>
      <rPr>
        <b/>
        <u/>
        <sz val="11"/>
        <color theme="1"/>
        <rFont val="Calibri"/>
        <family val="2"/>
        <scheme val="minor"/>
      </rPr>
      <t>Straight Piecework Rate</t>
    </r>
    <r>
      <rPr>
        <sz val="11"/>
        <color theme="1"/>
        <rFont val="Calibri"/>
        <family val="2"/>
        <scheme val="minor"/>
      </rPr>
      <t>: Manufacturer gets paid $1.35 per one Bellen Boomerang made.</t>
    </r>
  </si>
  <si>
    <t>1 - 75   ==&gt;   $1.05 each.</t>
  </si>
  <si>
    <t>76 - 120   ==&gt;   $1.35 each.</t>
  </si>
  <si>
    <t>121 or more   ==&gt;   $1.75 each.</t>
  </si>
  <si>
    <r>
      <rPr>
        <b/>
        <sz val="11"/>
        <color theme="1"/>
        <rFont val="Calibri"/>
        <family val="2"/>
        <scheme val="minor"/>
      </rPr>
      <t>Goal:</t>
    </r>
    <r>
      <rPr>
        <sz val="11"/>
        <color theme="1"/>
        <rFont val="Calibri"/>
        <family val="2"/>
        <scheme val="minor"/>
      </rPr>
      <t xml:space="preserve"> Calculate Gross Pay for Variable Piecework Long-Hand Method.</t>
    </r>
  </si>
  <si>
    <r>
      <rPr>
        <b/>
        <sz val="11"/>
        <color theme="1"/>
        <rFont val="Calibri"/>
        <family val="2"/>
        <scheme val="minor"/>
      </rPr>
      <t>Goal:</t>
    </r>
    <r>
      <rPr>
        <sz val="11"/>
        <color theme="1"/>
        <rFont val="Calibri"/>
        <family val="2"/>
        <scheme val="minor"/>
      </rPr>
      <t xml:space="preserve"> Calculate Gross Pay for Variable Piecework using Lookup Table Method.</t>
    </r>
  </si>
  <si>
    <t>Steps for Calculating Gross Pay using Lookup Table Method</t>
  </si>
  <si>
    <t>Contract shows the Lookup Table Below with the Pay Data for Each Category</t>
  </si>
  <si>
    <t>Columns in Lookup Table:</t>
  </si>
  <si>
    <t>Example 4:</t>
  </si>
  <si>
    <t>Example 5:</t>
  </si>
  <si>
    <t>Example 6:</t>
  </si>
  <si>
    <r>
      <t xml:space="preserve">Lookup Table </t>
    </r>
    <r>
      <rPr>
        <sz val="11"/>
        <color theme="0"/>
        <rFont val="Calibri"/>
        <family val="2"/>
        <scheme val="minor"/>
      </rPr>
      <t>below with the pay data for each category</t>
    </r>
  </si>
  <si>
    <t>Get Number Made Through Previous Category</t>
  </si>
  <si>
    <t>Get Pay per Unit</t>
  </si>
  <si>
    <t>Determine Total Number of Items Made</t>
  </si>
  <si>
    <t>No.</t>
  </si>
  <si>
    <t>Make the calculation:</t>
  </si>
  <si>
    <t>Using the total number of items made, find correct category (row) in the Lookup Table</t>
  </si>
  <si>
    <t>Get the amount for Earnings Made Through Previous Category</t>
  </si>
  <si>
    <t>Earnings Made Through Previous Category + (Total Number of Items Made - Number Made Through Previous Category) * Pay per Unit</t>
  </si>
  <si>
    <t>Colorado</t>
  </si>
  <si>
    <t>Earnings Made Through Previous Category</t>
  </si>
  <si>
    <t>Category #1 Upper Limit</t>
  </si>
  <si>
    <t>Paid per Unit for #1 Category</t>
  </si>
  <si>
    <t>Remains after #1</t>
  </si>
  <si>
    <t>Category #2 Upper Limit</t>
  </si>
  <si>
    <t>Number possible in Category #2</t>
  </si>
  <si>
    <t>Paid per Unit for #2 Category</t>
  </si>
  <si>
    <t>Remains after #2</t>
  </si>
  <si>
    <t>Paid per Unit for #3 Category</t>
  </si>
  <si>
    <t>Example 7:</t>
  </si>
  <si>
    <t>Ex 8</t>
  </si>
  <si>
    <r>
      <rPr>
        <b/>
        <sz val="11"/>
        <color theme="1"/>
        <rFont val="Calibri"/>
        <family val="2"/>
        <scheme val="minor"/>
      </rPr>
      <t>Goal:</t>
    </r>
    <r>
      <rPr>
        <sz val="11"/>
        <color theme="1"/>
        <rFont val="Calibri"/>
        <family val="2"/>
        <scheme val="minor"/>
      </rPr>
      <t xml:space="preserve"> Make Lookup Table. Calculate Gross Pay for Variable Piecework.</t>
    </r>
  </si>
  <si>
    <t>Now you have to create Lookup Table From Scratch, so you can use it over and over.</t>
  </si>
  <si>
    <t># Units Made in Previous Category * Pay per Unit in Previous Category + Earnings Made Through Previous Category</t>
  </si>
  <si>
    <t>Ex 9</t>
  </si>
  <si>
    <t>Now we can use table over and over:</t>
  </si>
  <si>
    <t>Abdi Smitty</t>
  </si>
  <si>
    <t>Kenya Panther</t>
  </si>
  <si>
    <t>Amount Sales Through Previous Categories</t>
  </si>
  <si>
    <t>Com Through Previous Categories</t>
  </si>
  <si>
    <t>Variable Piecework Lookup Table. Which category do we use for 120 items made?</t>
  </si>
  <si>
    <t>$1.00 for 0- 50 Boomerangs</t>
  </si>
  <si>
    <t>$1.10 for 51- 75 Boomerangs</t>
  </si>
  <si>
    <t>$1.25 for 76- 110 Boomerangs</t>
  </si>
  <si>
    <t>$1.50 for 111- 130 Boomerangs</t>
  </si>
  <si>
    <t>$1.75 for 131- 150 Boomerangs</t>
  </si>
  <si>
    <t>$2.00 for 151- More Boomerangs</t>
  </si>
  <si>
    <t>V5 + (Units - V4)*V3</t>
  </si>
  <si>
    <t>Ex 10</t>
  </si>
  <si>
    <t>Ex 11</t>
  </si>
  <si>
    <t>Dylan Minger</t>
  </si>
  <si>
    <t>Chin Yu</t>
  </si>
  <si>
    <t>Billy Smith</t>
  </si>
  <si>
    <t>Lin Pham</t>
  </si>
  <si>
    <t>Shelia Downings</t>
  </si>
  <si>
    <t>Gross Pay (all together)</t>
  </si>
  <si>
    <t>VLOOKUP Function Notes:</t>
  </si>
  <si>
    <r>
      <t xml:space="preserve"> =VLOOKUP(</t>
    </r>
    <r>
      <rPr>
        <b/>
        <sz val="11"/>
        <color rgb="FF0000FF"/>
        <rFont val="Calibri"/>
        <family val="2"/>
        <scheme val="minor"/>
      </rPr>
      <t>lookup_value</t>
    </r>
    <r>
      <rPr>
        <sz val="11"/>
        <color theme="1"/>
        <rFont val="Calibri"/>
        <family val="2"/>
        <scheme val="minor"/>
      </rPr>
      <t>,</t>
    </r>
    <r>
      <rPr>
        <b/>
        <sz val="11"/>
        <color rgb="FFFF0000"/>
        <rFont val="Calibri"/>
        <family val="2"/>
        <scheme val="minor"/>
      </rPr>
      <t>table_array</t>
    </r>
    <r>
      <rPr>
        <sz val="11"/>
        <color theme="1"/>
        <rFont val="Calibri"/>
        <family val="2"/>
        <scheme val="minor"/>
      </rPr>
      <t>,</t>
    </r>
    <r>
      <rPr>
        <b/>
        <sz val="11"/>
        <color rgb="FF00B050"/>
        <rFont val="Calibri"/>
        <family val="2"/>
        <scheme val="minor"/>
      </rPr>
      <t>col_index_num</t>
    </r>
    <r>
      <rPr>
        <sz val="11"/>
        <color theme="1"/>
        <rFont val="Calibri"/>
        <family val="2"/>
        <scheme val="minor"/>
      </rPr>
      <t>,</t>
    </r>
    <r>
      <rPr>
        <b/>
        <sz val="11"/>
        <color rgb="FF7030A0"/>
        <rFont val="Calibri"/>
        <family val="2"/>
        <scheme val="minor"/>
      </rPr>
      <t>[range_lookup]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</si>
  <si>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rgb="FFFF0000"/>
        <rFont val="Calibri"/>
        <family val="2"/>
        <scheme val="minor"/>
      </rPr>
      <t>table_array:</t>
    </r>
    <r>
      <rPr>
        <sz val="11"/>
        <rFont val="Calibri"/>
        <family val="2"/>
        <scheme val="minor"/>
      </rPr>
      <t xml:space="preserve"> Lookup Table (1st column must have Smallest Number for each Category AND 1st column must be sorted smallest to biggest)</t>
    </r>
  </si>
  <si>
    <r>
      <rPr>
        <b/>
        <sz val="11"/>
        <color rgb="FF00B050"/>
        <rFont val="Calibri"/>
        <family val="2"/>
        <scheme val="minor"/>
      </rPr>
      <t>col_index_num</t>
    </r>
    <r>
      <rPr>
        <sz val="11"/>
        <color theme="1"/>
        <rFont val="Calibri"/>
        <family val="2"/>
        <scheme val="minor"/>
      </rPr>
      <t>: Which Columns has the Number you want to go and get and bring back to cell? 1, 2, 3, 4, 5?</t>
    </r>
  </si>
  <si>
    <r>
      <rPr>
        <b/>
        <sz val="11"/>
        <color rgb="FF0000FF"/>
        <rFont val="Calibri"/>
        <family val="2"/>
        <scheme val="minor"/>
      </rPr>
      <t>lookup_value</t>
    </r>
    <r>
      <rPr>
        <sz val="11"/>
        <color theme="1"/>
        <rFont val="Calibri"/>
        <family val="2"/>
        <scheme val="minor"/>
      </rPr>
      <t>: Item you are trying to find a match for in in first column of lookup table (find first bigger one and jump back a row)</t>
    </r>
  </si>
  <si>
    <r>
      <rPr>
        <b/>
        <sz val="11"/>
        <color rgb="FF7030A0"/>
        <rFont val="Calibri"/>
        <family val="2"/>
        <scheme val="minor"/>
      </rPr>
      <t>[range_lookup]</t>
    </r>
    <r>
      <rPr>
        <sz val="11"/>
        <color theme="1"/>
        <rFont val="Calibri"/>
        <family val="2"/>
        <scheme val="minor"/>
      </rPr>
      <t>: Approximate Match (TRUE or omitted) allows VLOOKUP to find correct category when 1st column is sorted smallest to biggest.</t>
    </r>
  </si>
  <si>
    <t>Gigi Thompson</t>
  </si>
  <si>
    <t>Variable Commission Rate Lookup Table. Which category do we use for sales of $7,500?</t>
  </si>
  <si>
    <t>Sales Upper Limit</t>
  </si>
  <si>
    <t>% of Sales Earned</t>
  </si>
  <si>
    <r>
      <rPr>
        <b/>
        <sz val="11"/>
        <color theme="1"/>
        <rFont val="Calibri"/>
        <family val="2"/>
        <scheme val="minor"/>
      </rPr>
      <t>Goal:</t>
    </r>
    <r>
      <rPr>
        <sz val="11"/>
        <color theme="1"/>
        <rFont val="Calibri"/>
        <family val="2"/>
        <scheme val="minor"/>
      </rPr>
      <t xml:space="preserve"> Use Excel's Power to do many Variable Piecework Calculations all at once!!</t>
    </r>
  </si>
  <si>
    <t>Ex 12</t>
  </si>
  <si>
    <t>Ex 13</t>
  </si>
  <si>
    <t>Base Pay</t>
  </si>
  <si>
    <t>Employee Name:</t>
  </si>
  <si>
    <t>Sioux</t>
  </si>
  <si>
    <r>
      <rPr>
        <b/>
        <sz val="11"/>
        <color theme="1"/>
        <rFont val="Calibri"/>
        <family val="2"/>
        <scheme val="minor"/>
      </rPr>
      <t>Goal:</t>
    </r>
    <r>
      <rPr>
        <sz val="11"/>
        <color theme="1"/>
        <rFont val="Calibri"/>
        <family val="2"/>
        <scheme val="minor"/>
      </rPr>
      <t xml:space="preserve"> Calculate Gross Pay for Straight Commission Rate.</t>
    </r>
  </si>
  <si>
    <t>Straight Commission Rate</t>
  </si>
  <si>
    <t>Brandee Bussey</t>
  </si>
  <si>
    <t>Annis Dorris</t>
  </si>
  <si>
    <t>Noreen Vogel</t>
  </si>
  <si>
    <t>Letty Bautista</t>
  </si>
  <si>
    <t>Jaclyn Mcfall</t>
  </si>
  <si>
    <t>Missy Bauer</t>
  </si>
  <si>
    <t>Kiesha Huggins</t>
  </si>
  <si>
    <t>Lucinda Stitt</t>
  </si>
  <si>
    <t>Brinda Hannon</t>
  </si>
  <si>
    <t>Deandrea Ralph</t>
  </si>
  <si>
    <t>Date</t>
  </si>
  <si>
    <t>Sales</t>
  </si>
  <si>
    <r>
      <rPr>
        <b/>
        <sz val="11"/>
        <color rgb="FF0000FF"/>
        <rFont val="Calibri"/>
        <family val="2"/>
        <scheme val="minor"/>
      </rPr>
      <t>lookup_value</t>
    </r>
    <r>
      <rPr>
        <sz val="11"/>
        <color theme="1"/>
        <rFont val="Calibri"/>
        <family val="2"/>
        <scheme val="minor"/>
      </rPr>
      <t xml:space="preserve">: Item you are trying to find an </t>
    </r>
    <r>
      <rPr>
        <b/>
        <u/>
        <sz val="11"/>
        <color theme="1"/>
        <rFont val="Calibri"/>
        <family val="2"/>
        <scheme val="minor"/>
      </rPr>
      <t>exact</t>
    </r>
    <r>
      <rPr>
        <sz val="11"/>
        <color theme="1"/>
        <rFont val="Calibri"/>
        <family val="2"/>
        <scheme val="minor"/>
      </rPr>
      <t xml:space="preserve"> match for in in first column of lookup table.</t>
    </r>
  </si>
  <si>
    <r>
      <rPr>
        <b/>
        <sz val="11"/>
        <color rgb="FFFF0000"/>
        <rFont val="Calibri"/>
        <family val="2"/>
        <scheme val="minor"/>
      </rPr>
      <t>table_array:</t>
    </r>
    <r>
      <rPr>
        <sz val="11"/>
        <rFont val="Calibri"/>
        <family val="2"/>
        <scheme val="minor"/>
      </rPr>
      <t xml:space="preserve"> Lookup Table (1st column has item to try and make an exact match with)</t>
    </r>
  </si>
  <si>
    <r>
      <rPr>
        <b/>
        <sz val="11"/>
        <color rgb="FF00B050"/>
        <rFont val="Calibri"/>
        <family val="2"/>
        <scheme val="minor"/>
      </rPr>
      <t>col_index_num</t>
    </r>
    <r>
      <rPr>
        <sz val="11"/>
        <color theme="1"/>
        <rFont val="Calibri"/>
        <family val="2"/>
        <scheme val="minor"/>
      </rPr>
      <t>: Which Columns has the Number you want to go and get and bring back to cell? 1, 2?</t>
    </r>
  </si>
  <si>
    <r>
      <rPr>
        <b/>
        <sz val="11"/>
        <color rgb="FF7030A0"/>
        <rFont val="Calibri"/>
        <family val="2"/>
        <scheme val="minor"/>
      </rPr>
      <t>[range_lookup]</t>
    </r>
    <r>
      <rPr>
        <sz val="11"/>
        <color theme="1"/>
        <rFont val="Calibri"/>
        <family val="2"/>
        <scheme val="minor"/>
      </rPr>
      <t>: Exact Match (FALSE) allows VLOOKUP to find an exact match.</t>
    </r>
  </si>
  <si>
    <t>Lookup Table below shows the commission rate for each employee.</t>
  </si>
  <si>
    <t>Commission Rate</t>
  </si>
  <si>
    <t>Commission Amount</t>
  </si>
  <si>
    <t>Ex 14</t>
  </si>
  <si>
    <r>
      <rPr>
        <b/>
        <sz val="11"/>
        <color theme="1"/>
        <rFont val="Calibri"/>
        <family val="2"/>
        <scheme val="minor"/>
      </rPr>
      <t>Contact reads:</t>
    </r>
    <r>
      <rPr>
        <sz val="11"/>
        <color theme="1"/>
        <rFont val="Calibri"/>
        <family val="2"/>
        <scheme val="minor"/>
      </rPr>
      <t xml:space="preserve"> Each employee has no base salary and uses these Variable Commission Rates:</t>
    </r>
  </si>
  <si>
    <t>1) Incentive Pay</t>
  </si>
  <si>
    <t>2) Straight Piecework Example</t>
  </si>
  <si>
    <t>3) Variable Piecework: Long-Hand Method</t>
  </si>
  <si>
    <t>4) Why Excel is so Helpful!!!!</t>
  </si>
  <si>
    <t>5) Variable Piecework: “Lookup Table Method”</t>
  </si>
  <si>
    <t>6) Making a Lookup Table</t>
  </si>
  <si>
    <t>7) What is VLOOKUP Function?</t>
  </si>
  <si>
    <t>8) Variable Piecework: VLOOKUP Function</t>
  </si>
  <si>
    <t>Contact reads: Each employee has no base salary and has a Straight Commission Rate defined by their personal Employment Contract.</t>
  </si>
  <si>
    <r>
      <t>Contact reads:</t>
    </r>
    <r>
      <rPr>
        <sz val="11"/>
        <color theme="1"/>
        <rFont val="Calibri"/>
        <family val="2"/>
        <scheme val="minor"/>
      </rPr>
      <t xml:space="preserve"> Each employee has no base salary and has a Straight Commission Rate defined by their personal Employment Contract.</t>
    </r>
  </si>
  <si>
    <r>
      <rPr>
        <b/>
        <sz val="11"/>
        <color theme="1"/>
        <rFont val="Calibri"/>
        <family val="2"/>
        <scheme val="minor"/>
      </rPr>
      <t>Goal:</t>
    </r>
    <r>
      <rPr>
        <sz val="11"/>
        <color theme="1"/>
        <rFont val="Calibri"/>
        <family val="2"/>
        <scheme val="minor"/>
      </rPr>
      <t xml:space="preserve"> Calculate Gross Pay for Straight Commission Rate using VLOOKUP &amp; Exact Match Lookup.</t>
    </r>
  </si>
  <si>
    <r>
      <rPr>
        <b/>
        <sz val="11"/>
        <color theme="1"/>
        <rFont val="Calibri"/>
        <family val="2"/>
        <scheme val="minor"/>
      </rPr>
      <t>Goal:</t>
    </r>
    <r>
      <rPr>
        <sz val="11"/>
        <color theme="1"/>
        <rFont val="Calibri"/>
        <family val="2"/>
        <scheme val="minor"/>
      </rPr>
      <t xml:space="preserve"> Use VLOOKUP Function (with Approximate Match Lookup) &amp;  Lookup Table to automate calculation for Variable Piecework Gross Pay.</t>
    </r>
  </si>
  <si>
    <t>Use VLOOKUP Function (with Approximate Match Lookup) &amp;  Lookup Table to automate calculation for Variable Piecework Gross Pay.</t>
  </si>
  <si>
    <r>
      <t xml:space="preserve">Goal: </t>
    </r>
    <r>
      <rPr>
        <sz val="11"/>
        <color theme="1"/>
        <rFont val="Calibri"/>
        <family val="2"/>
        <scheme val="minor"/>
      </rPr>
      <t>Build Variable Commission Rate Lookup Table. Calculate Gross Pay for Variable Commission Rate using VLOOKUP &amp; Approximate Match Lookup.</t>
    </r>
  </si>
  <si>
    <r>
      <rPr>
        <b/>
        <sz val="11"/>
        <color theme="1"/>
        <rFont val="Calibri"/>
        <family val="2"/>
        <scheme val="minor"/>
      </rPr>
      <t>Goal:</t>
    </r>
    <r>
      <rPr>
        <sz val="11"/>
        <color theme="1"/>
        <rFont val="Calibri"/>
        <family val="2"/>
        <scheme val="minor"/>
      </rPr>
      <t xml:space="preserve"> Use Clipboard to collect each VLOOKUP Function (that you copy in edit mode) and then paste them all into a single formula.</t>
    </r>
  </si>
  <si>
    <r>
      <t>Goal:</t>
    </r>
    <r>
      <rPr>
        <sz val="11"/>
        <color theme="1"/>
        <rFont val="Calibri"/>
        <family val="2"/>
        <scheme val="minor"/>
      </rPr>
      <t xml:space="preserve"> Use Clipboard to collect each VLOOKUP Function (that you copy in edit mode) and then paste them all into a single formula.</t>
    </r>
  </si>
  <si>
    <t xml:space="preserve"> from $10,0000 – $19,999.99 and 3% for sales of $20,000 or more:</t>
  </si>
  <si>
    <t xml:space="preserve">             0.00 - $9,999.99      ==&gt;&gt;   1.0%</t>
  </si>
  <si>
    <t>$10,000.00 - $19,999.99   ==&gt;&gt;   1.5%</t>
  </si>
  <si>
    <t>$20,000.00 or more            ==&gt;&gt;   3.0%</t>
  </si>
  <si>
    <t>Ex 15</t>
  </si>
  <si>
    <t>Lower Sales Limit</t>
  </si>
  <si>
    <r>
      <rPr>
        <b/>
        <sz val="11"/>
        <color theme="1"/>
        <rFont val="Calibri"/>
        <family val="2"/>
        <scheme val="minor"/>
      </rPr>
      <t>Contract reads:</t>
    </r>
    <r>
      <rPr>
        <sz val="11"/>
        <color theme="1"/>
        <rFont val="Calibri"/>
        <family val="2"/>
        <scheme val="minor"/>
      </rPr>
      <t xml:space="preserve"> Sales person gets a base monthly salary of $2,000 plus a percentage of the total sales</t>
    </r>
  </si>
  <si>
    <t>they made for the month based on the amount of sales they made determined by this table:</t>
  </si>
  <si>
    <t>Kenya Freeman</t>
  </si>
  <si>
    <r>
      <rPr>
        <b/>
        <u/>
        <sz val="11"/>
        <color theme="1"/>
        <rFont val="Calibri"/>
        <family val="2"/>
        <scheme val="minor"/>
      </rPr>
      <t>Straight Commission Rate</t>
    </r>
    <r>
      <rPr>
        <sz val="11"/>
        <color theme="1"/>
        <rFont val="Calibri"/>
        <family val="2"/>
        <scheme val="minor"/>
      </rPr>
      <t>: Sales person gets a base monthly salary of $3,000 plus 1.5% of the total sales they made for the month.</t>
    </r>
  </si>
  <si>
    <r>
      <rPr>
        <b/>
        <u/>
        <sz val="11"/>
        <color theme="1"/>
        <rFont val="Calibri"/>
        <family val="2"/>
        <scheme val="minor"/>
      </rPr>
      <t>Variable Commission Rate:</t>
    </r>
    <r>
      <rPr>
        <sz val="11"/>
        <color theme="1"/>
        <rFont val="Calibri"/>
        <family val="2"/>
        <scheme val="minor"/>
      </rPr>
      <t xml:space="preserve"> Sales person gets a base monthly salary of $3,000 plus 1% for sales from $0 – $9,999.99, 1.5% for sales</t>
    </r>
  </si>
  <si>
    <t>$30,000.00 - $39,999.99   ==&gt;&gt;   3.75%</t>
  </si>
  <si>
    <t xml:space="preserve">             0.00 - $4,999.99      ==&gt;&gt;   0.50%</t>
  </si>
  <si>
    <t>$5,000.00 - $19,999.99     ==&gt;&gt;   2.00%</t>
  </si>
  <si>
    <t>$20,000.00 - $29,999.99   ==&gt;&gt;   2.50%</t>
  </si>
  <si>
    <r>
      <rPr>
        <b/>
        <sz val="11"/>
        <color theme="1"/>
        <rFont val="Calibri"/>
        <family val="2"/>
        <scheme val="minor"/>
      </rPr>
      <t>Contact reads:</t>
    </r>
    <r>
      <rPr>
        <sz val="11"/>
        <color theme="1"/>
        <rFont val="Calibri"/>
        <family val="2"/>
        <scheme val="minor"/>
      </rPr>
      <t xml:space="preserve"> Base monthly salary of $3,000 plus 1.5% of the total sales they made for the month.</t>
    </r>
  </si>
  <si>
    <t xml:space="preserve">$40,000 or more                   ==&gt;&gt;   5.25% </t>
  </si>
  <si>
    <r>
      <rPr>
        <b/>
        <u/>
        <sz val="11"/>
        <color theme="1"/>
        <rFont val="Calibri"/>
        <family val="2"/>
        <scheme val="minor"/>
      </rPr>
      <t>Commission Rate Based on Sales Amount:</t>
    </r>
    <r>
      <rPr>
        <sz val="11"/>
        <color theme="1"/>
        <rFont val="Calibri"/>
        <family val="2"/>
        <scheme val="minor"/>
      </rPr>
      <t xml:space="preserve"> Sales person gets a base monthly salary of $2,000 plus a percentage of the total sales</t>
    </r>
  </si>
  <si>
    <r>
      <rPr>
        <b/>
        <sz val="11"/>
        <color theme="1"/>
        <rFont val="Calibri"/>
        <family val="2"/>
        <scheme val="minor"/>
      </rPr>
      <t>Goal:</t>
    </r>
    <r>
      <rPr>
        <sz val="11"/>
        <color theme="1"/>
        <rFont val="Calibri"/>
        <family val="2"/>
        <scheme val="minor"/>
      </rPr>
      <t xml:space="preserve"> Calculate Gross Pay using VLOOKUP (Approximate Match) </t>
    </r>
  </si>
  <si>
    <t>for Commission Rate Based on Amount of Sales Made by Employee.</t>
  </si>
  <si>
    <t xml:space="preserve">  they made for the month based on the Commission Rate determined by the below table:</t>
  </si>
  <si>
    <t>Note:</t>
  </si>
  <si>
    <t>The rate is not a Variable Rate where we have a</t>
  </si>
  <si>
    <t>different rate for each category, the employee will</t>
  </si>
  <si>
    <t>simply get paid the same Commission Rate for all the</t>
  </si>
  <si>
    <t>amount of their sales.</t>
  </si>
  <si>
    <t>$30,000.00 - $39,999.99      ==&gt;&gt;   3.75%</t>
  </si>
  <si>
    <t>$20,000.00 - $29,999.99      ==&gt;&gt;   2.50%</t>
  </si>
  <si>
    <t xml:space="preserve">              0.00 - $4,999.99      ==&gt;&gt;   0.50%</t>
  </si>
  <si>
    <t xml:space="preserve">  $5,000.00 - $19,999.99      ==&gt;&gt;   2.00%</t>
  </si>
  <si>
    <t>sales they make, but the single rate is determined by the</t>
  </si>
  <si>
    <t>Ex 16</t>
  </si>
  <si>
    <t>If you are paid by commission, and you are paid a commission rate of 5.75% for sales up to $8,000.00, a commission rate of 6.75% for sales between $8,000.01 and $13,500.00, and a commission rate of 9.00% when sales are $13,500.01  or more, what is your gross pay if you had sales of $19,575.00?</t>
  </si>
  <si>
    <t>If you are paid by commission, and you are paid a commission rate of 5.75% for sales between $0.01 and $8,000.00, a commission rate of 6.75% for sales between $8,000.01 and $13,500.00, and a commission rate of 9.00% when sales are $13,500.01  or more, what is your gross pay if you had sales of $25,000.00?</t>
  </si>
  <si>
    <t>If you are paid by commission, and you are paid a commission rate of 5.75% for sales between $0.01 and $8,000.00, a commission rate of 6.75% for sales between $8,000.01 and $13,500.00, and a commission rate of 9.00% when sales are $13,500.01  or more, what is your gross pay if you had sales of $12,000.00?</t>
  </si>
  <si>
    <t>Cumulative Paid From Previous</t>
  </si>
  <si>
    <t>Cumulative Sales Made From Previous Category</t>
  </si>
  <si>
    <t>Total Gross</t>
  </si>
  <si>
    <t>Check</t>
  </si>
  <si>
    <t>Lower</t>
  </si>
  <si>
    <t>Upper</t>
  </si>
  <si>
    <t>Amount in Category</t>
  </si>
  <si>
    <t>$0 to $8000</t>
  </si>
  <si>
    <t>$8000.01 to $13,500</t>
  </si>
  <si>
    <t>$13,500.01 or more</t>
  </si>
  <si>
    <t>??</t>
  </si>
  <si>
    <t>Sales Made</t>
  </si>
  <si>
    <t>Sales in Category</t>
  </si>
  <si>
    <t>Comm Pay for Category</t>
  </si>
  <si>
    <t>Calculation step 1 =&gt;</t>
  </si>
  <si>
    <t>Remains</t>
  </si>
  <si>
    <t>Calculation step 2 =&gt;</t>
  </si>
  <si>
    <t>Calculation step 3 =&gt;</t>
  </si>
  <si>
    <t>Pay per 1 component</t>
  </si>
  <si>
    <t>Number of Components Made</t>
  </si>
  <si>
    <r>
      <rPr>
        <b/>
        <sz val="11"/>
        <color theme="1"/>
        <rFont val="Calibri"/>
        <family val="2"/>
        <scheme val="minor"/>
      </rPr>
      <t>Goal:</t>
    </r>
    <r>
      <rPr>
        <sz val="11"/>
        <color theme="1"/>
        <rFont val="Calibri"/>
        <family val="2"/>
        <scheme val="minor"/>
      </rPr>
      <t xml:space="preserve"> Calculate Gross Pay for Day for Straight Piecework.</t>
    </r>
  </si>
  <si>
    <r>
      <rPr>
        <b/>
        <sz val="11"/>
        <color theme="1"/>
        <rFont val="Calibri"/>
        <family val="2"/>
        <scheme val="minor"/>
      </rPr>
      <t>Contact reads:</t>
    </r>
    <r>
      <rPr>
        <sz val="11"/>
        <color theme="1"/>
        <rFont val="Calibri"/>
        <family val="2"/>
        <scheme val="minor"/>
      </rPr>
      <t xml:space="preserve"> Pay $1.15 per each Component made.</t>
    </r>
  </si>
  <si>
    <t>The Employee Made 215 components for the day.</t>
  </si>
  <si>
    <t>Following Excel's Golden Rules, make your calculations in the sheet.</t>
  </si>
  <si>
    <t>Item</t>
  </si>
  <si>
    <t>Lower # for Category</t>
  </si>
  <si>
    <t>Upper # for Category</t>
  </si>
  <si>
    <t>Pay per 1</t>
  </si>
  <si>
    <t>How Many in Category</t>
  </si>
  <si>
    <t>or more</t>
  </si>
  <si>
    <t>Number picked</t>
  </si>
  <si>
    <t># picked</t>
  </si>
  <si>
    <t>Pay</t>
  </si>
  <si>
    <t># for 1st Calculation</t>
  </si>
  <si>
    <t>Remaining ==&gt;&gt;</t>
  </si>
  <si>
    <t># for 2nd Calculation</t>
  </si>
  <si>
    <t># for 3rd Calculation</t>
  </si>
  <si>
    <t>Avocados</t>
  </si>
  <si>
    <t>Lookup Columns:</t>
  </si>
  <si>
    <t>Long Hand:</t>
  </si>
  <si>
    <t>or</t>
  </si>
  <si>
    <t>Number Picked Through Previous Category</t>
  </si>
  <si>
    <t>Find Gross Pay for an Avocado Picker based on the Variable Rate Piecework Table listed here:</t>
  </si>
  <si>
    <t>Find Gross Pay for each employee who picks Avocados Picker based on the Variable Rate Piecework Table listed here:</t>
  </si>
  <si>
    <t>1 - 500 Avocados pay is $0.0650 each</t>
  </si>
  <si>
    <t>501 - 700  pay is $0.0875 each</t>
  </si>
  <si>
    <t>701 - or more 2 pay is $0.1125 each</t>
  </si>
  <si>
    <t>Employee Name</t>
  </si>
  <si>
    <t>Jamya Krueger</t>
  </si>
  <si>
    <t>Kaylin Hess</t>
  </si>
  <si>
    <t>Joanna George</t>
  </si>
  <si>
    <t>Amiya Sims</t>
  </si>
  <si>
    <t>Liliana Lee</t>
  </si>
  <si>
    <t>Garrett Farrell</t>
  </si>
  <si>
    <t>Mireya Odom</t>
  </si>
  <si>
    <t>Mauricio Mclaughlin</t>
  </si>
  <si>
    <t>Ronan Andersen</t>
  </si>
  <si>
    <t>Milagros French</t>
  </si>
  <si>
    <t>Alfonso Todd</t>
  </si>
  <si>
    <t>Van Boyd</t>
  </si>
  <si>
    <t>Elle Trevino</t>
  </si>
  <si>
    <t>Formula</t>
  </si>
  <si>
    <t>1 - 250 Avocados pay is $0.0750 each</t>
  </si>
  <si>
    <t>251 - 500  pay is $0.0875 each</t>
  </si>
  <si>
    <t>501 - 700 2 pay is $0.0950 each</t>
  </si>
  <si>
    <t>701 - 1000 Upper pay is $0.1200 each</t>
  </si>
  <si>
    <t>1001 - or more 250 pay is $0.1300 each</t>
  </si>
  <si>
    <t>Upper Limit from Previous Category</t>
  </si>
  <si>
    <t>Rand Check:</t>
  </si>
  <si>
    <t>Check 1</t>
  </si>
  <si>
    <t>Check 2</t>
  </si>
  <si>
    <t>column #:</t>
  </si>
  <si>
    <t>Monthly Sales</t>
  </si>
  <si>
    <t>Quarter</t>
  </si>
  <si>
    <t>Total Commission Pay for Q 1 - 3</t>
  </si>
  <si>
    <t>Lookup Table:</t>
  </si>
  <si>
    <t>Calculate Gross Pay for Straight Commission Rate using VLOOKUP &amp; Exact Match Lookup in the Commission Amount Column.</t>
  </si>
  <si>
    <t>Then in cell E42 add the sales for quarters 1 to 3.</t>
  </si>
  <si>
    <t>Total Sales Up Through Last Category</t>
  </si>
  <si>
    <t>Total Commisson Up Through Last Category</t>
  </si>
  <si>
    <t>Gross</t>
  </si>
  <si>
    <t>GE Sales People</t>
  </si>
  <si>
    <t>Cami Bebout  </t>
  </si>
  <si>
    <t>Virgina Loucks  </t>
  </si>
  <si>
    <t>Omega Pearce  </t>
  </si>
  <si>
    <t>Deandra Groom  </t>
  </si>
  <si>
    <t>Janette Gosnell  </t>
  </si>
  <si>
    <t>Mui Chon  </t>
  </si>
  <si>
    <t>Hana Kamerer  </t>
  </si>
  <si>
    <t>Sharri Bogue  </t>
  </si>
  <si>
    <t>Ryan Lepak  </t>
  </si>
  <si>
    <t>Tiffanie Modzelewski  </t>
  </si>
  <si>
    <t>Ella Dozal  </t>
  </si>
  <si>
    <t>Emilie Demello  </t>
  </si>
  <si>
    <t>Patricia Mosteller  </t>
  </si>
  <si>
    <t>Janise Heflin  </t>
  </si>
  <si>
    <t>Perry Shuffler  </t>
  </si>
  <si>
    <t>Jolanda Morelock  </t>
  </si>
  <si>
    <t>Rodolfo Borkholder  </t>
  </si>
  <si>
    <t>Veola Leu  </t>
  </si>
  <si>
    <t>Melina Coit  </t>
  </si>
  <si>
    <t>Geraldo Landrum  </t>
  </si>
  <si>
    <t>Chantelle Dahlberg  </t>
  </si>
  <si>
    <t>Almeda Burgener  </t>
  </si>
  <si>
    <t>Isreal Royston  </t>
  </si>
  <si>
    <t>Gail Ribera  </t>
  </si>
  <si>
    <t>Penney Eis  </t>
  </si>
  <si>
    <t>Estrella Everts  </t>
  </si>
  <si>
    <t>Kiana Plaster  </t>
  </si>
  <si>
    <t>Faith Corney  </t>
  </si>
  <si>
    <t>Derrick Cooper  </t>
  </si>
  <si>
    <t>Antonietta Nissen  </t>
  </si>
  <si>
    <t>Tawana Neer  </t>
  </si>
  <si>
    <t>Merri Cavaliere  </t>
  </si>
  <si>
    <t>Margorie Judon  </t>
  </si>
  <si>
    <t>Ilona Lacayo  </t>
  </si>
  <si>
    <t>Fidel Weisenberger  </t>
  </si>
  <si>
    <t>Wai Ketterer  </t>
  </si>
  <si>
    <t>Grayce Melillo  </t>
  </si>
  <si>
    <t>Mia Innes  </t>
  </si>
  <si>
    <t>Cecil Medford  </t>
  </si>
  <si>
    <t>Gaston Hansell  </t>
  </si>
  <si>
    <t>Maurice Vanbrunt  </t>
  </si>
  <si>
    <t>Sonja Turnbull  </t>
  </si>
  <si>
    <t>Reuben Speziale  </t>
  </si>
  <si>
    <t>Serafina Mcraney  </t>
  </si>
  <si>
    <t>Melvina Legette  </t>
  </si>
  <si>
    <t>Kathi Currence  </t>
  </si>
  <si>
    <t>Derick Dalessio  </t>
  </si>
  <si>
    <t>Lura Senn  </t>
  </si>
  <si>
    <t>May Peagler  </t>
  </si>
  <si>
    <t>Sueann Bridger  </t>
  </si>
  <si>
    <t>Day's Sales</t>
  </si>
  <si>
    <t>Rand:</t>
  </si>
  <si>
    <t>Date:</t>
  </si>
  <si>
    <t>Count FALSE</t>
  </si>
  <si>
    <t>Below is the Sales Variable Commission Rate Table as defined in the Employee Contract for sales made by an employee for each day at the GE Company.</t>
  </si>
  <si>
    <t>Below the Sales Variable Commission Rate Table is a data set with GE Employees and the amount of sales they made for the day.</t>
  </si>
  <si>
    <t>Calculate the Gross Pay for each employee.</t>
  </si>
  <si>
    <t>13) Straight Piecework or Commission Rates</t>
  </si>
  <si>
    <t>9) Variable Piecework &amp; VLOOKUP for Entire Payroll Table, including      10) Mash Up Formula</t>
  </si>
  <si>
    <t>11) VLOOKUP Function Arguments       12) Lookup Tables are Everywhere</t>
  </si>
  <si>
    <t>14) VLOOKUP for Straight Commission Rates When each Employee has Different Rate</t>
  </si>
  <si>
    <t>15) VLOOKUP for Variable Commission Rates</t>
  </si>
  <si>
    <t>16) VLOOKUP for Commission Rate Based on Amount of Sales Made</t>
  </si>
  <si>
    <t>Sales from $0.00 - $50,000.00 = 3.50%</t>
  </si>
  <si>
    <t>Sales from $50,000.01 - $125,000.00 = 4.00%</t>
  </si>
  <si>
    <t>Sales from $125,000.01 - $150,000.00 = 5.00%</t>
  </si>
  <si>
    <t>Sales from $150,000.01 - $175,000.00 = 6.50%</t>
  </si>
  <si>
    <t>Sales from $175,000.01 - $225,000.00 = 7.50%</t>
  </si>
  <si>
    <t>Sales from $225,000.01 - more = 10.00%</t>
  </si>
  <si>
    <t>Lower Limit for Sales</t>
  </si>
  <si>
    <t xml:space="preserve">Calculate Gross Pay using VLOOKUP (Approximate Match) </t>
  </si>
  <si>
    <r>
      <rPr>
        <b/>
        <sz val="11"/>
        <color theme="1"/>
        <rFont val="Calibri"/>
        <family val="2"/>
        <scheme val="minor"/>
      </rPr>
      <t>Contract reads:</t>
    </r>
    <r>
      <rPr>
        <sz val="11"/>
        <color theme="1"/>
        <rFont val="Calibri"/>
        <family val="2"/>
        <scheme val="minor"/>
      </rPr>
      <t xml:space="preserve"> Sales person gets a base monthly salary of $1,000 plus a percentage of the total sales</t>
    </r>
  </si>
  <si>
    <t>Cyntia Trebble</t>
  </si>
  <si>
    <r>
      <rPr>
        <b/>
        <sz val="11"/>
        <color theme="1"/>
        <rFont val="Calibri"/>
        <family val="2"/>
        <scheme val="minor"/>
      </rPr>
      <t>Contract reads:</t>
    </r>
    <r>
      <rPr>
        <sz val="11"/>
        <color theme="1"/>
        <rFont val="Calibri"/>
        <family val="2"/>
        <scheme val="minor"/>
      </rPr>
      <t xml:space="preserve"> Each employee gets NO base monthly salary. They are paid a percentage of the total sales</t>
    </r>
  </si>
  <si>
    <t xml:space="preserve">  they make for the month based on the Commission Rate determined by the below table:</t>
  </si>
  <si>
    <t>Employee's Sales</t>
  </si>
  <si>
    <t>Vasiliki Flick  </t>
  </si>
  <si>
    <t>Corinna Alkire  </t>
  </si>
  <si>
    <t>Dewey Palmore  </t>
  </si>
  <si>
    <t>Tenesha Saban  </t>
  </si>
  <si>
    <t>Margarette Elsass  </t>
  </si>
  <si>
    <t>Cassi Volker  </t>
  </si>
  <si>
    <t>Johnathon Hoover  </t>
  </si>
  <si>
    <t>Karie Barks  </t>
  </si>
  <si>
    <t>Antonetta Master  </t>
  </si>
  <si>
    <t>Samual Ketcham  </t>
  </si>
  <si>
    <t>Ashly Rhynes  </t>
  </si>
  <si>
    <t>Efren Matchett  </t>
  </si>
  <si>
    <t>Dottie Richison  </t>
  </si>
  <si>
    <t>Linnie Rugg  </t>
  </si>
  <si>
    <t>Damian Sojka  </t>
  </si>
  <si>
    <t>Rita Hoerner  </t>
  </si>
  <si>
    <t>Cassy Ruane  </t>
  </si>
  <si>
    <t>Haywood Hamburg  </t>
  </si>
  <si>
    <t>Iluminada Schrantz  </t>
  </si>
  <si>
    <t>Piper Lucio  </t>
  </si>
  <si>
    <t>Yoko Tillmon  </t>
  </si>
  <si>
    <t>Zola Mullally  </t>
  </si>
  <si>
    <t>Isis Paulding  </t>
  </si>
  <si>
    <t>Dalton Tarry  </t>
  </si>
  <si>
    <t>Loris Boomer  </t>
  </si>
  <si>
    <t>Samatha Houchens  </t>
  </si>
  <si>
    <t>Kathleen Florence  </t>
  </si>
  <si>
    <t>Branda Mishoe  </t>
  </si>
  <si>
    <t>Arminda Pickel  </t>
  </si>
  <si>
    <t>Gia Puff  </t>
  </si>
  <si>
    <t>Emilia Penrod  </t>
  </si>
  <si>
    <t>Davis Gilford  </t>
  </si>
  <si>
    <t>Sierra Lembo  </t>
  </si>
  <si>
    <t>Thaddeus Mcgehee  </t>
  </si>
  <si>
    <t>Shirley Rickert  </t>
  </si>
  <si>
    <t>Toshia Hayslett  </t>
  </si>
  <si>
    <t>Malcolm Byerly  </t>
  </si>
  <si>
    <t>Ta Bramble  </t>
  </si>
  <si>
    <t>Dan Broadnax  </t>
  </si>
  <si>
    <t>Cara Papenfuss  </t>
  </si>
  <si>
    <t>Latrina Almazan  </t>
  </si>
  <si>
    <t>Sherita Kapoor  </t>
  </si>
  <si>
    <t>Michael Mccullen  </t>
  </si>
  <si>
    <t>Elwood Wake  </t>
  </si>
  <si>
    <t>Bret Mee  </t>
  </si>
  <si>
    <t>Beryl Bott  </t>
  </si>
  <si>
    <t>Malorie Quist  </t>
  </si>
  <si>
    <t>Renaldo Sarkis  </t>
  </si>
  <si>
    <t>Mallie Isakson  </t>
  </si>
  <si>
    <t>Stacie Queen  </t>
  </si>
  <si>
    <t>Calculate Gross Pay using VLOOKUP (Approximate Match) for each employee in the data set.</t>
  </si>
  <si>
    <t>Number avocado picked = 1408.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</si>
</sst>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"/>
    <numFmt numFmtId="166" formatCode="&quot;$&quot;#,##0.000_);[Red]\(&quot;$&quot;#,##0.000\)"/>
    <numFmt numFmtId="167" formatCode="&quot;$&quot;#,##0.00000_);[Red]\(&quot;$&quot;#,##0.000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2" borderId="11">
      <alignment wrapText="1"/>
    </xf>
    <xf numFmtId="0" fontId="1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0" fillId="2" borderId="0" xfId="0" applyNumberFormat="1" applyFill="1"/>
    <xf numFmtId="0" fontId="4" fillId="3" borderId="1" xfId="0" applyNumberFormat="1" applyFont="1" applyFill="1" applyBorder="1" applyAlignment="1">
      <alignment horizontal="centerContinuous"/>
    </xf>
    <xf numFmtId="0" fontId="0" fillId="3" borderId="2" xfId="0" applyNumberFormat="1" applyFill="1" applyBorder="1" applyAlignment="1">
      <alignment horizontal="centerContinuous"/>
    </xf>
    <xf numFmtId="0" fontId="0" fillId="3" borderId="3" xfId="0" applyNumberFormat="1" applyFill="1" applyBorder="1" applyAlignment="1">
      <alignment horizontal="centerContinuous"/>
    </xf>
    <xf numFmtId="0" fontId="5" fillId="3" borderId="4" xfId="0" applyNumberFormat="1" applyFont="1" applyFill="1" applyBorder="1" applyAlignment="1">
      <alignment horizontal="centerContinuous"/>
    </xf>
    <xf numFmtId="0" fontId="3" fillId="2" borderId="0" xfId="0" applyNumberFormat="1" applyFont="1" applyFill="1" applyBorder="1" applyAlignment="1">
      <alignment horizontal="centerContinuous"/>
    </xf>
    <xf numFmtId="0" fontId="0" fillId="3" borderId="5" xfId="0" applyNumberFormat="1" applyFill="1" applyBorder="1" applyAlignment="1">
      <alignment horizontal="centerContinuous"/>
    </xf>
    <xf numFmtId="0" fontId="3" fillId="4" borderId="0" xfId="0" applyNumberFormat="1" applyFont="1" applyFill="1" applyBorder="1" applyAlignment="1">
      <alignment horizontal="centerContinuous"/>
    </xf>
    <xf numFmtId="0" fontId="6" fillId="3" borderId="4" xfId="0" applyNumberFormat="1" applyFont="1" applyFill="1" applyBorder="1"/>
    <xf numFmtId="0" fontId="7" fillId="3" borderId="0" xfId="0" applyNumberFormat="1" applyFont="1" applyFill="1" applyBorder="1"/>
    <xf numFmtId="0" fontId="0" fillId="3" borderId="0" xfId="0" applyNumberFormat="1" applyFill="1" applyBorder="1"/>
    <xf numFmtId="0" fontId="6" fillId="3" borderId="0" xfId="0" applyNumberFormat="1" applyFont="1" applyFill="1" applyBorder="1"/>
    <xf numFmtId="0" fontId="0" fillId="3" borderId="0" xfId="0" applyNumberFormat="1" applyFill="1" applyBorder="1" applyAlignment="1">
      <alignment horizontal="centerContinuous"/>
    </xf>
    <xf numFmtId="0" fontId="8" fillId="3" borderId="0" xfId="0" applyNumberFormat="1" applyFont="1" applyFill="1" applyBorder="1" applyAlignment="1">
      <alignment horizontal="centerContinuous"/>
    </xf>
    <xf numFmtId="0" fontId="8" fillId="3" borderId="5" xfId="0" applyNumberFormat="1" applyFont="1" applyFill="1" applyBorder="1" applyAlignment="1">
      <alignment horizontal="centerContinuous"/>
    </xf>
    <xf numFmtId="0" fontId="9" fillId="3" borderId="0" xfId="0" applyNumberFormat="1" applyFont="1" applyFill="1" applyBorder="1"/>
    <xf numFmtId="0" fontId="0" fillId="3" borderId="5" xfId="0" applyNumberFormat="1" applyFill="1" applyBorder="1"/>
    <xf numFmtId="0" fontId="7" fillId="3" borderId="0" xfId="0" applyNumberFormat="1" applyFont="1" applyFill="1" applyBorder="1" applyAlignment="1">
      <alignment horizontal="left" indent="2"/>
    </xf>
    <xf numFmtId="0" fontId="0" fillId="3" borderId="4" xfId="0" applyNumberFormat="1" applyFill="1" applyBorder="1"/>
    <xf numFmtId="0" fontId="0" fillId="3" borderId="6" xfId="0" applyNumberFormat="1" applyFill="1" applyBorder="1"/>
    <xf numFmtId="0" fontId="0" fillId="3" borderId="7" xfId="0" applyNumberFormat="1" applyFill="1" applyBorder="1"/>
    <xf numFmtId="0" fontId="0" fillId="3" borderId="8" xfId="0" applyNumberFormat="1" applyFill="1" applyBorder="1"/>
    <xf numFmtId="0" fontId="0" fillId="0" borderId="0" xfId="0" applyNumberFormat="1"/>
    <xf numFmtId="0" fontId="0" fillId="0" borderId="0" xfId="0" applyNumberFormat="1" applyFont="1" applyAlignment="1">
      <alignment horizontal="left" indent="3"/>
    </xf>
    <xf numFmtId="0" fontId="2" fillId="0" borderId="0" xfId="1" applyFont="1"/>
    <xf numFmtId="0" fontId="1" fillId="0" borderId="0" xfId="1"/>
    <xf numFmtId="0" fontId="2" fillId="0" borderId="0" xfId="1" applyFont="1" applyAlignment="1">
      <alignment horizontal="left"/>
    </xf>
    <xf numFmtId="0" fontId="11" fillId="0" borderId="9" xfId="1" applyFont="1" applyBorder="1"/>
    <xf numFmtId="0" fontId="11" fillId="0" borderId="10" xfId="1" applyFont="1" applyBorder="1"/>
    <xf numFmtId="0" fontId="11" fillId="0" borderId="0" xfId="1" applyFont="1"/>
    <xf numFmtId="0" fontId="3" fillId="2" borderId="11" xfId="2" applyBorder="1">
      <alignment wrapText="1"/>
    </xf>
    <xf numFmtId="6" fontId="13" fillId="0" borderId="11" xfId="3" applyNumberFormat="1" applyFont="1" applyBorder="1"/>
    <xf numFmtId="0" fontId="11" fillId="0" borderId="12" xfId="1" applyFont="1" applyBorder="1"/>
    <xf numFmtId="0" fontId="3" fillId="2" borderId="11" xfId="2">
      <alignment wrapText="1"/>
    </xf>
    <xf numFmtId="0" fontId="13" fillId="0" borderId="11" xfId="3" applyFont="1" applyBorder="1"/>
    <xf numFmtId="8" fontId="13" fillId="0" borderId="11" xfId="3" applyNumberFormat="1" applyBorder="1"/>
    <xf numFmtId="0" fontId="1" fillId="0" borderId="11" xfId="1" applyBorder="1"/>
    <xf numFmtId="14" fontId="1" fillId="0" borderId="11" xfId="1" applyNumberFormat="1" applyBorder="1"/>
    <xf numFmtId="8" fontId="1" fillId="0" borderId="11" xfId="1" applyNumberFormat="1" applyBorder="1"/>
    <xf numFmtId="0" fontId="0" fillId="0" borderId="11" xfId="0" applyBorder="1"/>
    <xf numFmtId="0" fontId="2" fillId="0" borderId="0" xfId="0" applyFont="1"/>
    <xf numFmtId="0" fontId="0" fillId="6" borderId="15" xfId="0" applyFill="1" applyBorder="1"/>
    <xf numFmtId="0" fontId="0" fillId="6" borderId="16" xfId="0" applyFill="1" applyBorder="1"/>
    <xf numFmtId="0" fontId="0" fillId="6" borderId="0" xfId="0" applyFill="1" applyBorder="1"/>
    <xf numFmtId="0" fontId="0" fillId="6" borderId="18" xfId="0" applyFill="1" applyBorder="1"/>
    <xf numFmtId="0" fontId="0" fillId="6" borderId="20" xfId="0" applyFill="1" applyBorder="1"/>
    <xf numFmtId="0" fontId="0" fillId="6" borderId="21" xfId="0" applyFill="1" applyBorder="1"/>
    <xf numFmtId="0" fontId="0" fillId="6" borderId="14" xfId="0" applyFont="1" applyFill="1" applyBorder="1"/>
    <xf numFmtId="0" fontId="0" fillId="6" borderId="19" xfId="0" applyFont="1" applyFill="1" applyBorder="1"/>
    <xf numFmtId="0" fontId="3" fillId="2" borderId="13" xfId="0" applyFont="1" applyFill="1" applyBorder="1"/>
    <xf numFmtId="0" fontId="3" fillId="2" borderId="11" xfId="0" applyFont="1" applyFill="1" applyBorder="1"/>
    <xf numFmtId="0" fontId="0" fillId="0" borderId="11" xfId="0" applyNumberFormat="1" applyBorder="1"/>
    <xf numFmtId="0" fontId="0" fillId="5" borderId="11" xfId="4" applyNumberFormat="1" applyFont="1" applyFill="1" applyBorder="1"/>
    <xf numFmtId="0" fontId="0" fillId="5" borderId="11" xfId="0" applyNumberFormat="1" applyFill="1" applyBorder="1"/>
    <xf numFmtId="165" fontId="0" fillId="0" borderId="11" xfId="4" applyNumberFormat="1" applyFont="1" applyBorder="1"/>
    <xf numFmtId="164" fontId="0" fillId="0" borderId="13" xfId="4" applyNumberFormat="1" applyFont="1" applyBorder="1"/>
    <xf numFmtId="164" fontId="0" fillId="5" borderId="11" xfId="0" applyNumberFormat="1" applyFill="1" applyBorder="1"/>
    <xf numFmtId="0" fontId="0" fillId="6" borderId="17" xfId="0" applyFill="1" applyBorder="1"/>
    <xf numFmtId="0" fontId="0" fillId="3" borderId="11" xfId="0" applyFill="1" applyBorder="1"/>
    <xf numFmtId="0" fontId="0" fillId="5" borderId="11" xfId="0" applyFill="1" applyBorder="1"/>
    <xf numFmtId="0" fontId="0" fillId="6" borderId="17" xfId="0" applyFill="1" applyBorder="1" applyAlignment="1">
      <alignment horizontal="left" indent="2"/>
    </xf>
    <xf numFmtId="0" fontId="0" fillId="6" borderId="17" xfId="0" applyFont="1" applyFill="1" applyBorder="1"/>
    <xf numFmtId="0" fontId="0" fillId="6" borderId="19" xfId="0" applyFont="1" applyFill="1" applyBorder="1" applyAlignment="1">
      <alignment horizontal="left" indent="2"/>
    </xf>
    <xf numFmtId="0" fontId="3" fillId="2" borderId="11" xfId="0" applyFont="1" applyFill="1" applyBorder="1" applyAlignment="1">
      <alignment wrapText="1"/>
    </xf>
    <xf numFmtId="0" fontId="0" fillId="0" borderId="11" xfId="0" applyFont="1" applyBorder="1"/>
    <xf numFmtId="8" fontId="0" fillId="0" borderId="11" xfId="0" applyNumberFormat="1" applyBorder="1"/>
    <xf numFmtId="8" fontId="0" fillId="5" borderId="11" xfId="0" applyNumberFormat="1" applyFill="1" applyBorder="1"/>
    <xf numFmtId="0" fontId="0" fillId="6" borderId="19" xfId="0" applyFill="1" applyBorder="1" applyAlignment="1">
      <alignment horizontal="left" indent="2"/>
    </xf>
    <xf numFmtId="0" fontId="10" fillId="0" borderId="0" xfId="0" applyNumberFormat="1" applyFont="1" applyAlignment="1">
      <alignment horizontal="left" indent="1"/>
    </xf>
    <xf numFmtId="0" fontId="0" fillId="0" borderId="0" xfId="0" applyNumberFormat="1" applyAlignment="1">
      <alignment horizontal="left" indent="3"/>
    </xf>
    <xf numFmtId="0" fontId="11" fillId="0" borderId="0" xfId="0" applyNumberFormat="1" applyFont="1" applyAlignment="1">
      <alignment horizontal="left" indent="2"/>
    </xf>
    <xf numFmtId="0" fontId="12" fillId="0" borderId="0" xfId="0" applyNumberFormat="1" applyFont="1" applyAlignment="1">
      <alignment horizontal="left" indent="3"/>
    </xf>
    <xf numFmtId="0" fontId="0" fillId="0" borderId="0" xfId="0" applyNumberFormat="1" applyFont="1" applyAlignment="1">
      <alignment horizontal="left" indent="4"/>
    </xf>
    <xf numFmtId="0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11" xfId="0" applyFill="1" applyBorder="1"/>
    <xf numFmtId="0" fontId="0" fillId="6" borderId="19" xfId="0" applyFont="1" applyFill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0" fillId="7" borderId="11" xfId="0" applyFill="1" applyBorder="1"/>
    <xf numFmtId="0" fontId="2" fillId="0" borderId="0" xfId="0" applyFont="1" applyAlignment="1">
      <alignment horizontal="right"/>
    </xf>
    <xf numFmtId="0" fontId="0" fillId="5" borderId="0" xfId="0" applyFill="1"/>
    <xf numFmtId="0" fontId="14" fillId="8" borderId="9" xfId="0" applyFont="1" applyFill="1" applyBorder="1"/>
    <xf numFmtId="0" fontId="3" fillId="8" borderId="12" xfId="0" applyFont="1" applyFill="1" applyBorder="1"/>
    <xf numFmtId="0" fontId="3" fillId="8" borderId="10" xfId="0" applyFont="1" applyFill="1" applyBorder="1"/>
    <xf numFmtId="0" fontId="0" fillId="0" borderId="0" xfId="0" applyAlignment="1">
      <alignment horizontal="left" wrapText="1" indent="1"/>
    </xf>
    <xf numFmtId="164" fontId="0" fillId="0" borderId="11" xfId="0" applyNumberFormat="1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 wrapText="1" indent="2"/>
    </xf>
    <xf numFmtId="0" fontId="0" fillId="6" borderId="9" xfId="0" applyFill="1" applyBorder="1"/>
    <xf numFmtId="0" fontId="0" fillId="6" borderId="12" xfId="0" applyFill="1" applyBorder="1"/>
    <xf numFmtId="0" fontId="0" fillId="6" borderId="10" xfId="0" applyFill="1" applyBorder="1"/>
    <xf numFmtId="0" fontId="0" fillId="0" borderId="11" xfId="0" applyFont="1" applyFill="1" applyBorder="1"/>
    <xf numFmtId="8" fontId="0" fillId="0" borderId="11" xfId="0" applyNumberFormat="1" applyFill="1" applyBorder="1"/>
    <xf numFmtId="10" fontId="0" fillId="0" borderId="11" xfId="0" applyNumberFormat="1" applyBorder="1"/>
    <xf numFmtId="8" fontId="0" fillId="7" borderId="11" xfId="0" applyNumberFormat="1" applyFill="1" applyBorder="1"/>
    <xf numFmtId="0" fontId="0" fillId="0" borderId="0" xfId="0" applyAlignment="1">
      <alignment vertical="center"/>
    </xf>
    <xf numFmtId="0" fontId="0" fillId="6" borderId="9" xfId="0" applyFont="1" applyFill="1" applyBorder="1"/>
    <xf numFmtId="0" fontId="11" fillId="0" borderId="9" xfId="0" applyFont="1" applyBorder="1"/>
    <xf numFmtId="0" fontId="11" fillId="0" borderId="12" xfId="0" applyFont="1" applyBorder="1"/>
    <xf numFmtId="0" fontId="11" fillId="0" borderId="10" xfId="0" applyFont="1" applyBorder="1"/>
    <xf numFmtId="6" fontId="13" fillId="7" borderId="11" xfId="3" applyNumberFormat="1" applyFont="1" applyFill="1" applyBorder="1"/>
    <xf numFmtId="0" fontId="13" fillId="7" borderId="11" xfId="3" applyFont="1" applyFill="1" applyBorder="1"/>
    <xf numFmtId="8" fontId="13" fillId="7" borderId="11" xfId="3" applyNumberFormat="1" applyFill="1" applyBorder="1"/>
    <xf numFmtId="10" fontId="0" fillId="0" borderId="11" xfId="0" applyNumberFormat="1" applyFill="1" applyBorder="1"/>
    <xf numFmtId="10" fontId="0" fillId="7" borderId="11" xfId="0" applyNumberFormat="1" applyFill="1" applyBorder="1"/>
    <xf numFmtId="0" fontId="1" fillId="7" borderId="11" xfId="1" applyFill="1" applyBorder="1"/>
    <xf numFmtId="14" fontId="1" fillId="7" borderId="11" xfId="1" applyNumberFormat="1" applyFill="1" applyBorder="1"/>
    <xf numFmtId="8" fontId="1" fillId="7" borderId="11" xfId="1" applyNumberFormat="1" applyFill="1" applyBorder="1"/>
    <xf numFmtId="0" fontId="3" fillId="2" borderId="19" xfId="0" applyFont="1" applyFill="1" applyBorder="1"/>
    <xf numFmtId="164" fontId="0" fillId="0" borderId="11" xfId="4" applyNumberFormat="1" applyFont="1" applyBorder="1"/>
    <xf numFmtId="14" fontId="0" fillId="0" borderId="11" xfId="0" applyNumberFormat="1" applyBorder="1"/>
    <xf numFmtId="164" fontId="0" fillId="0" borderId="11" xfId="0" applyNumberFormat="1" applyBorder="1"/>
    <xf numFmtId="0" fontId="2" fillId="6" borderId="14" xfId="0" applyFont="1" applyFill="1" applyBorder="1"/>
    <xf numFmtId="0" fontId="0" fillId="6" borderId="17" xfId="0" applyFill="1" applyBorder="1" applyAlignment="1">
      <alignment horizontal="left" indent="1"/>
    </xf>
    <xf numFmtId="0" fontId="0" fillId="7" borderId="0" xfId="0" applyFill="1"/>
    <xf numFmtId="0" fontId="2" fillId="6" borderId="17" xfId="0" applyFont="1" applyFill="1" applyBorder="1"/>
    <xf numFmtId="0" fontId="0" fillId="0" borderId="9" xfId="0" applyNumberFormat="1" applyBorder="1"/>
    <xf numFmtId="0" fontId="0" fillId="0" borderId="12" xfId="0" applyBorder="1"/>
    <xf numFmtId="0" fontId="0" fillId="0" borderId="10" xfId="0" applyNumberFormat="1" applyBorder="1"/>
    <xf numFmtId="0" fontId="0" fillId="0" borderId="9" xfId="0" applyBorder="1"/>
    <xf numFmtId="0" fontId="0" fillId="0" borderId="12" xfId="0" applyNumberFormat="1" applyBorder="1"/>
    <xf numFmtId="0" fontId="0" fillId="0" borderId="10" xfId="0" applyBorder="1"/>
    <xf numFmtId="0" fontId="0" fillId="6" borderId="17" xfId="0" applyFont="1" applyFill="1" applyBorder="1" applyAlignment="1">
      <alignment horizontal="left" indent="4"/>
    </xf>
    <xf numFmtId="0" fontId="0" fillId="6" borderId="17" xfId="0" applyFont="1" applyFill="1" applyBorder="1" applyAlignment="1">
      <alignment horizontal="left" indent="10"/>
    </xf>
    <xf numFmtId="0" fontId="0" fillId="6" borderId="11" xfId="0" applyFill="1" applyBorder="1"/>
    <xf numFmtId="0" fontId="0" fillId="6" borderId="19" xfId="0" applyFill="1" applyBorder="1"/>
    <xf numFmtId="0" fontId="10" fillId="6" borderId="17" xfId="0" applyFont="1" applyFill="1" applyBorder="1"/>
    <xf numFmtId="0" fontId="0" fillId="9" borderId="9" xfId="0" applyFill="1" applyBorder="1" applyAlignment="1">
      <alignment horizontal="centerContinuous" wrapText="1"/>
    </xf>
    <xf numFmtId="0" fontId="0" fillId="9" borderId="12" xfId="0" applyFill="1" applyBorder="1" applyAlignment="1">
      <alignment horizontal="centerContinuous" wrapText="1"/>
    </xf>
    <xf numFmtId="0" fontId="0" fillId="9" borderId="10" xfId="0" applyFill="1" applyBorder="1" applyAlignment="1">
      <alignment horizontal="centerContinuous" wrapText="1"/>
    </xf>
    <xf numFmtId="0" fontId="2" fillId="0" borderId="11" xfId="0" applyFont="1" applyBorder="1"/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8" fontId="0" fillId="0" borderId="0" xfId="0" applyNumberFormat="1"/>
    <xf numFmtId="0" fontId="0" fillId="10" borderId="11" xfId="0" applyFill="1" applyBorder="1"/>
    <xf numFmtId="166" fontId="0" fillId="0" borderId="11" xfId="0" applyNumberFormat="1" applyBorder="1"/>
    <xf numFmtId="0" fontId="0" fillId="0" borderId="0" xfId="0" applyAlignment="1">
      <alignment horizontal="right"/>
    </xf>
    <xf numFmtId="0" fontId="0" fillId="6" borderId="14" xfId="0" applyFill="1" applyBorder="1"/>
    <xf numFmtId="0" fontId="14" fillId="2" borderId="11" xfId="0" applyFont="1" applyFill="1" applyBorder="1"/>
    <xf numFmtId="0" fontId="2" fillId="7" borderId="0" xfId="0" applyFont="1" applyFill="1"/>
    <xf numFmtId="0" fontId="14" fillId="2" borderId="11" xfId="0" applyFont="1" applyFill="1" applyBorder="1" applyAlignment="1">
      <alignment wrapText="1"/>
    </xf>
    <xf numFmtId="167" fontId="0" fillId="0" borderId="11" xfId="0" applyNumberFormat="1" applyBorder="1"/>
    <xf numFmtId="0" fontId="0" fillId="0" borderId="13" xfId="0" applyBorder="1"/>
    <xf numFmtId="8" fontId="0" fillId="0" borderId="13" xfId="0" applyNumberFormat="1" applyBorder="1"/>
    <xf numFmtId="10" fontId="0" fillId="0" borderId="13" xfId="0" applyNumberFormat="1" applyBorder="1"/>
    <xf numFmtId="0" fontId="0" fillId="0" borderId="10" xfId="0" applyBorder="1" applyAlignment="1">
      <alignment wrapText="1"/>
    </xf>
    <xf numFmtId="0" fontId="2" fillId="7" borderId="9" xfId="0" applyFont="1" applyFill="1" applyBorder="1"/>
    <xf numFmtId="0" fontId="0" fillId="7" borderId="10" xfId="0" applyFill="1" applyBorder="1"/>
    <xf numFmtId="10" fontId="0" fillId="0" borderId="11" xfId="5" applyNumberFormat="1" applyFont="1" applyBorder="1"/>
    <xf numFmtId="8" fontId="14" fillId="2" borderId="11" xfId="0" applyNumberFormat="1" applyFont="1" applyFill="1" applyBorder="1"/>
    <xf numFmtId="14" fontId="0" fillId="0" borderId="0" xfId="0" applyNumberFormat="1"/>
    <xf numFmtId="8" fontId="0" fillId="0" borderId="0" xfId="0" applyNumberFormat="1" applyBorder="1"/>
    <xf numFmtId="8" fontId="0" fillId="5" borderId="0" xfId="0" applyNumberFormat="1" applyFill="1" applyBorder="1"/>
    <xf numFmtId="0" fontId="0" fillId="0" borderId="0" xfId="5" applyNumberFormat="1" applyFont="1" applyFill="1" applyBorder="1"/>
    <xf numFmtId="0" fontId="18" fillId="3" borderId="0" xfId="0" applyNumberFormat="1" applyFont="1" applyFill="1" applyBorder="1"/>
    <xf numFmtId="0" fontId="19" fillId="3" borderId="0" xfId="0" applyNumberFormat="1" applyFont="1" applyFill="1" applyBorder="1" applyAlignment="1">
      <alignment horizontal="left"/>
    </xf>
    <xf numFmtId="164" fontId="0" fillId="0" borderId="0" xfId="0" applyNumberFormat="1"/>
    <xf numFmtId="164" fontId="21" fillId="0" borderId="11" xfId="0" applyNumberFormat="1" applyFont="1" applyFill="1" applyBorder="1"/>
    <xf numFmtId="0" fontId="20" fillId="0" borderId="11" xfId="0" applyFont="1" applyFill="1" applyBorder="1"/>
    <xf numFmtId="0" fontId="20" fillId="0" borderId="10" xfId="0" applyFont="1" applyFill="1" applyBorder="1"/>
    <xf numFmtId="10" fontId="21" fillId="0" borderId="11" xfId="0" applyNumberFormat="1" applyFont="1" applyFill="1" applyBorder="1"/>
    <xf numFmtId="0" fontId="0" fillId="6" borderId="17" xfId="0" applyFont="1" applyFill="1" applyBorder="1" applyAlignment="1">
      <alignment horizontal="left"/>
    </xf>
    <xf numFmtId="0" fontId="14" fillId="2" borderId="10" xfId="0" applyFont="1" applyFill="1" applyBorder="1"/>
  </cellXfs>
  <cellStyles count="6">
    <cellStyle name="blue" xfId="2" xr:uid="{EFA49702-BA34-4790-848C-D047F0A2218D}"/>
    <cellStyle name="Currency" xfId="4" builtinId="4"/>
    <cellStyle name="Normal" xfId="0" builtinId="0"/>
    <cellStyle name="Normal 2" xfId="1" xr:uid="{B1A32A2B-9A3D-4ED9-9A7C-063F72C72EE1}"/>
    <cellStyle name="Normal 2 2" xfId="3" xr:uid="{1B6688FC-DC4C-4BC2-9219-1A30E4844388}"/>
    <cellStyle name="Percent" xfId="5" builtinId="5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t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t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381000</xdr:colOff>
      <xdr:row>16</xdr:row>
      <xdr:rowOff>123824</xdr:rowOff>
    </xdr:from>
    <xdr:to>
      <xdr:col>16</xdr:col>
      <xdr:colOff>628090</xdr:colOff>
      <xdr:row>20</xdr:row>
      <xdr:rowOff>111051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21338C-18D0-4116-A928-095DA75A7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562599"/>
          <a:ext cx="942415" cy="1244527"/>
        </a:xfrm>
        <a:prstGeom prst="rect">
          <a:avLst/>
        </a:prstGeom>
      </xdr:spPr>
    </xdr:pic>
    <xdr:clientData/>
  </xdr:twoCellAnchor>
  <xdr:twoCellAnchor editAs="oneCell">
    <xdr:from>
      <xdr:col>2</xdr:col>
      <xdr:colOff>19182</xdr:colOff>
      <xdr:row>5</xdr:row>
      <xdr:rowOff>38100</xdr:rowOff>
    </xdr:from>
    <xdr:to>
      <xdr:col>12</xdr:col>
      <xdr:colOff>209549</xdr:colOff>
      <xdr:row>19</xdr:row>
      <xdr:rowOff>304800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008A723-6A61-46BC-968D-8F7C81F3B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557" y="1981200"/>
          <a:ext cx="7715117" cy="4667250"/>
        </a:xfrm>
        <a:prstGeom prst="rect">
          <a:avLst/>
        </a:prstGeom>
      </xdr:spPr>
    </xdr:pic>
    <xdr:clientData/>
  </xdr:twoCellAnchor>
  <xdr:twoCellAnchor editAs="oneCell">
    <xdr:from>
      <xdr:col>12</xdr:col>
      <xdr:colOff>457201</xdr:colOff>
      <xdr:row>4</xdr:row>
      <xdr:rowOff>108061</xdr:rowOff>
    </xdr:from>
    <xdr:to>
      <xdr:col>16</xdr:col>
      <xdr:colOff>410097</xdr:colOff>
      <xdr:row>15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4A629E1-EA4C-4C46-8711-D6B98C8415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97" t="3950"/>
        <a:stretch/>
      </xdr:blipFill>
      <xdr:spPr>
        <a:xfrm>
          <a:off x="8696326" y="1841611"/>
          <a:ext cx="2734196" cy="3530489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16</xdr:row>
      <xdr:rowOff>95251</xdr:rowOff>
    </xdr:from>
    <xdr:to>
      <xdr:col>13</xdr:col>
      <xdr:colOff>381000</xdr:colOff>
      <xdr:row>18</xdr:row>
      <xdr:rowOff>106225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200D403-4530-46D0-BB67-B15917881F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515" r="34154"/>
        <a:stretch/>
      </xdr:blipFill>
      <xdr:spPr>
        <a:xfrm>
          <a:off x="3971925" y="5495926"/>
          <a:ext cx="5343525" cy="639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254581</xdr:colOff>
      <xdr:row>4</xdr:row>
      <xdr:rowOff>27244</xdr:rowOff>
    </xdr:from>
    <xdr:to>
      <xdr:col>6</xdr:col>
      <xdr:colOff>262736</xdr:colOff>
      <xdr:row>8</xdr:row>
      <xdr:rowOff>81618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5D9F8C5-E625-41F9-8FE8-43152E594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7722" y="789244"/>
          <a:ext cx="615373" cy="816374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 editAs="oneCell">
    <xdr:from>
      <xdr:col>0</xdr:col>
      <xdr:colOff>1256110</xdr:colOff>
      <xdr:row>3</xdr:row>
      <xdr:rowOff>165299</xdr:rowOff>
    </xdr:from>
    <xdr:to>
      <xdr:col>3</xdr:col>
      <xdr:colOff>509109</xdr:colOff>
      <xdr:row>7</xdr:row>
      <xdr:rowOff>12379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5ADCCD4-FD31-4D82-88A2-829D97AF1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110" y="736799"/>
          <a:ext cx="2211702" cy="6090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42502</xdr:colOff>
      <xdr:row>0</xdr:row>
      <xdr:rowOff>43968</xdr:rowOff>
    </xdr:from>
    <xdr:to>
      <xdr:col>8</xdr:col>
      <xdr:colOff>448620</xdr:colOff>
      <xdr:row>22</xdr:row>
      <xdr:rowOff>160734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DB654C-A59E-4BBF-AC3C-C0D088E6B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8986" y="43968"/>
          <a:ext cx="3323150" cy="4307766"/>
        </a:xfrm>
        <a:prstGeom prst="rect">
          <a:avLst/>
        </a:prstGeom>
        <a:ln w="25400">
          <a:solidFill>
            <a:srgbClr val="FF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42502</xdr:colOff>
      <xdr:row>0</xdr:row>
      <xdr:rowOff>43968</xdr:rowOff>
    </xdr:from>
    <xdr:to>
      <xdr:col>8</xdr:col>
      <xdr:colOff>448620</xdr:colOff>
      <xdr:row>22</xdr:row>
      <xdr:rowOff>160734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227741-2FA5-4382-88A3-E5FD1B988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0177" y="43968"/>
          <a:ext cx="3320768" cy="4307766"/>
        </a:xfrm>
        <a:prstGeom prst="rect">
          <a:avLst/>
        </a:prstGeom>
        <a:ln w="25400">
          <a:solidFill>
            <a:srgbClr val="FF0000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45000</xdr:colOff>
      <xdr:row>37</xdr:row>
      <xdr:rowOff>112814</xdr:rowOff>
    </xdr:from>
    <xdr:to>
      <xdr:col>6</xdr:col>
      <xdr:colOff>1215900</xdr:colOff>
      <xdr:row>59</xdr:row>
      <xdr:rowOff>17317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B95E4F-ED72-48F2-BE77-FF05507F3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500" y="7627814"/>
          <a:ext cx="6660900" cy="4029503"/>
        </a:xfrm>
        <a:prstGeom prst="rect">
          <a:avLst/>
        </a:prstGeom>
        <a:ln w="25400">
          <a:solidFill>
            <a:srgbClr val="FF0000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101204</xdr:colOff>
      <xdr:row>3</xdr:row>
      <xdr:rowOff>178970</xdr:rowOff>
    </xdr:from>
    <xdr:to>
      <xdr:col>4</xdr:col>
      <xdr:colOff>139304</xdr:colOff>
      <xdr:row>10</xdr:row>
      <xdr:rowOff>98821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279084-1434-4129-ADCC-916D10D6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2079" y="750470"/>
          <a:ext cx="2609850" cy="1253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101204</xdr:colOff>
      <xdr:row>3</xdr:row>
      <xdr:rowOff>178970</xdr:rowOff>
    </xdr:from>
    <xdr:to>
      <xdr:col>4</xdr:col>
      <xdr:colOff>139304</xdr:colOff>
      <xdr:row>10</xdr:row>
      <xdr:rowOff>98821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71D510-6749-4B49-B5C3-BCC71D804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2079" y="750470"/>
          <a:ext cx="2609850" cy="1253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455544</xdr:colOff>
      <xdr:row>4</xdr:row>
      <xdr:rowOff>57978</xdr:rowOff>
    </xdr:from>
    <xdr:to>
      <xdr:col>4</xdr:col>
      <xdr:colOff>50939</xdr:colOff>
      <xdr:row>10</xdr:row>
      <xdr:rowOff>92931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03AF1D-22E6-4856-886B-E7A42664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4631" y="819978"/>
          <a:ext cx="2030482" cy="1177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256761</xdr:colOff>
      <xdr:row>4</xdr:row>
      <xdr:rowOff>73964</xdr:rowOff>
    </xdr:from>
    <xdr:to>
      <xdr:col>3</xdr:col>
      <xdr:colOff>2287243</xdr:colOff>
      <xdr:row>10</xdr:row>
      <xdr:rowOff>108917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251CBD-C0E8-48AB-B0E8-DEBC8E2A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5848" y="835964"/>
          <a:ext cx="2030482" cy="1177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VideoClassStorage/135NoTextBook/Content/05BankingPayroll/Video33/Excel2010BusnMathCh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ll%20classes\135\content\ch05\135ch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ics"/>
      <sheetName val="Time In Excel"/>
      <sheetName val="Time In Excel (an)"/>
      <sheetName val="Time Sheets"/>
      <sheetName val="Gross&amp;Overtime-M1"/>
      <sheetName val="Time Sheets (an)"/>
      <sheetName val="Gross&amp;Overtime-M1 (an)"/>
      <sheetName val="Special HW ==&gt;&gt;"/>
      <sheetName val="HW(1)part1"/>
      <sheetName val="HW(1)part2"/>
      <sheetName val="HW(1)part1 (an)"/>
      <sheetName val="HW(1)part2 (an)"/>
      <sheetName val="Continue 6.1 ==&gt;&gt;"/>
      <sheetName val="G&amp;O-M1-2ndEx"/>
      <sheetName val="G&amp;O-M1-2ndEx (an)"/>
      <sheetName val="G&amp;O-M2"/>
      <sheetName val="G&amp;O-M2 (an)"/>
      <sheetName val="G&amp;O-M3"/>
      <sheetName val="G&amp;O-M3 (an)"/>
      <sheetName val="OT Terms"/>
      <sheetName val="Salaried Overtime"/>
      <sheetName val="Salaried Overtime (an)"/>
      <sheetName val="Equivalent Earnings"/>
      <sheetName val="Equivalent Earnings (an)"/>
      <sheetName val="6.2 Incentives"/>
      <sheetName val="I(1)"/>
      <sheetName val="I(1an)"/>
      <sheetName val="I(2)"/>
      <sheetName val="I(2an)"/>
      <sheetName val="I(3)"/>
      <sheetName val="I(3an)"/>
      <sheetName val="I(4)"/>
      <sheetName val="I(4an)"/>
      <sheetName val="I(5)"/>
      <sheetName val="I(5an)"/>
      <sheetName val="I(6)"/>
      <sheetName val="I(6an)"/>
      <sheetName val="I(7)"/>
      <sheetName val="I(7an)"/>
      <sheetName val="I(8)"/>
      <sheetName val="I(8an)"/>
      <sheetName val="6.3 and 6.4 Deductions"/>
      <sheetName val="Gross and Net"/>
      <sheetName val="Social Security"/>
      <sheetName val="FICA Calc."/>
      <sheetName val="FICA Calc. (an)"/>
      <sheetName val="Disability Deduction"/>
      <sheetName val="Disability Deduction (an)"/>
      <sheetName val="Income Tax Withholdings"/>
      <sheetName val="Wage Bracket Method"/>
      <sheetName val="WB(2)"/>
      <sheetName val="WB(3)"/>
      <sheetName val="WB(4)"/>
      <sheetName val="PM(1)"/>
      <sheetName val="PM(1an)"/>
      <sheetName val="PM(2)"/>
      <sheetName val="PM(2an)"/>
      <sheetName val="PM(3)"/>
      <sheetName val="PM(3an)"/>
      <sheetName val="PM(4)"/>
      <sheetName val="PM(4an)"/>
      <sheetName val="State Withholding Tax"/>
      <sheetName val="Total Owed to the IRS"/>
      <sheetName val="HW ==&gt;&gt;"/>
      <sheetName val="6(1)"/>
      <sheetName val="6(2)"/>
      <sheetName val="6(3)"/>
      <sheetName val="6(4) P 3 and 4"/>
      <sheetName val="Wage Bracket Tables For HW==&gt;&gt;"/>
      <sheetName val="Single Weekly"/>
      <sheetName val="Married Weekly"/>
      <sheetName val="Single Monthly"/>
      <sheetName val="Married Monthly"/>
      <sheetName val="6(4) P(19)"/>
      <sheetName val="6(4) P(22)"/>
      <sheetName val="6(4) P(26)"/>
      <sheetName val="Variable Rates"/>
      <sheetName val="VLOOKUPComm"/>
      <sheetName val="Formulas"/>
      <sheetName val="BoomManyPieceWork"/>
      <sheetName val="BoomerangCommissions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0">
          <cell r="E10">
            <v>230</v>
          </cell>
          <cell r="F10">
            <v>240</v>
          </cell>
          <cell r="G10">
            <v>11</v>
          </cell>
          <cell r="H10">
            <v>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P10">
            <v>450</v>
          </cell>
          <cell r="Q10">
            <v>460</v>
          </cell>
          <cell r="R10">
            <v>15</v>
          </cell>
          <cell r="S10">
            <v>8</v>
          </cell>
          <cell r="T10">
            <v>1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A10">
            <v>1360</v>
          </cell>
          <cell r="AB10">
            <v>1400</v>
          </cell>
          <cell r="AC10">
            <v>104</v>
          </cell>
          <cell r="AD10">
            <v>58</v>
          </cell>
          <cell r="AE10">
            <v>17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2080</v>
          </cell>
          <cell r="AM10">
            <v>2120</v>
          </cell>
          <cell r="AN10">
            <v>82</v>
          </cell>
          <cell r="AO10">
            <v>48</v>
          </cell>
          <cell r="AP10">
            <v>18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E11">
            <v>240</v>
          </cell>
          <cell r="F11">
            <v>250</v>
          </cell>
          <cell r="G11">
            <v>13</v>
          </cell>
          <cell r="H11">
            <v>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460</v>
          </cell>
          <cell r="Q11">
            <v>470</v>
          </cell>
          <cell r="R11">
            <v>16</v>
          </cell>
          <cell r="S11">
            <v>9</v>
          </cell>
          <cell r="T11">
            <v>2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1400</v>
          </cell>
          <cell r="AB11">
            <v>1440</v>
          </cell>
          <cell r="AC11">
            <v>110</v>
          </cell>
          <cell r="AD11">
            <v>64</v>
          </cell>
          <cell r="AE11">
            <v>21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L11">
            <v>2120</v>
          </cell>
          <cell r="AM11">
            <v>2160</v>
          </cell>
          <cell r="AN11">
            <v>88</v>
          </cell>
          <cell r="AO11">
            <v>52</v>
          </cell>
          <cell r="AP11">
            <v>22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E12">
            <v>250</v>
          </cell>
          <cell r="F12">
            <v>260</v>
          </cell>
          <cell r="G12">
            <v>14</v>
          </cell>
          <cell r="H12">
            <v>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470</v>
          </cell>
          <cell r="Q12">
            <v>480</v>
          </cell>
          <cell r="R12">
            <v>17</v>
          </cell>
          <cell r="S12">
            <v>10</v>
          </cell>
          <cell r="T12">
            <v>3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A12">
            <v>1440</v>
          </cell>
          <cell r="AB12">
            <v>1480</v>
          </cell>
          <cell r="AC12">
            <v>116</v>
          </cell>
          <cell r="AD12">
            <v>70</v>
          </cell>
          <cell r="AE12">
            <v>25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L12">
            <v>2160</v>
          </cell>
          <cell r="AM12">
            <v>2200</v>
          </cell>
          <cell r="AN12">
            <v>94</v>
          </cell>
          <cell r="AO12">
            <v>56</v>
          </cell>
          <cell r="AP12">
            <v>26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E13">
            <v>260</v>
          </cell>
          <cell r="F13">
            <v>270</v>
          </cell>
          <cell r="G13">
            <v>16</v>
          </cell>
          <cell r="H13">
            <v>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480</v>
          </cell>
          <cell r="Q13">
            <v>490</v>
          </cell>
          <cell r="R13">
            <v>19</v>
          </cell>
          <cell r="S13">
            <v>11</v>
          </cell>
          <cell r="T13">
            <v>4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A13">
            <v>1480</v>
          </cell>
          <cell r="AB13">
            <v>1520</v>
          </cell>
          <cell r="AC13">
            <v>122</v>
          </cell>
          <cell r="AD13">
            <v>76</v>
          </cell>
          <cell r="AE13">
            <v>31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L13">
            <v>2200</v>
          </cell>
          <cell r="AM13">
            <v>2240</v>
          </cell>
          <cell r="AN13">
            <v>100</v>
          </cell>
          <cell r="AO13">
            <v>60</v>
          </cell>
          <cell r="AP13">
            <v>30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E14">
            <v>270</v>
          </cell>
          <cell r="F14">
            <v>280</v>
          </cell>
          <cell r="G14">
            <v>17</v>
          </cell>
          <cell r="H14">
            <v>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490</v>
          </cell>
          <cell r="Q14">
            <v>500</v>
          </cell>
          <cell r="R14">
            <v>20</v>
          </cell>
          <cell r="S14">
            <v>12</v>
          </cell>
          <cell r="T14">
            <v>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A14">
            <v>1520</v>
          </cell>
          <cell r="AB14">
            <v>1560</v>
          </cell>
          <cell r="AC14">
            <v>128</v>
          </cell>
          <cell r="AD14">
            <v>82</v>
          </cell>
          <cell r="AE14">
            <v>37</v>
          </cell>
          <cell r="AF14">
            <v>3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L14">
            <v>2240</v>
          </cell>
          <cell r="AM14">
            <v>2280</v>
          </cell>
          <cell r="AN14">
            <v>106</v>
          </cell>
          <cell r="AO14">
            <v>64</v>
          </cell>
          <cell r="AP14">
            <v>34</v>
          </cell>
          <cell r="AQ14">
            <v>4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E15">
            <v>280</v>
          </cell>
          <cell r="F15">
            <v>290</v>
          </cell>
          <cell r="G15">
            <v>19</v>
          </cell>
          <cell r="H15">
            <v>8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500</v>
          </cell>
          <cell r="Q15">
            <v>510</v>
          </cell>
          <cell r="R15">
            <v>22</v>
          </cell>
          <cell r="S15">
            <v>13</v>
          </cell>
          <cell r="T15">
            <v>6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1560</v>
          </cell>
          <cell r="AB15">
            <v>1600</v>
          </cell>
          <cell r="AC15">
            <v>134</v>
          </cell>
          <cell r="AD15">
            <v>88</v>
          </cell>
          <cell r="AE15">
            <v>43</v>
          </cell>
          <cell r="AF15">
            <v>7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L15">
            <v>2280</v>
          </cell>
          <cell r="AM15">
            <v>2320</v>
          </cell>
          <cell r="AN15">
            <v>112</v>
          </cell>
          <cell r="AO15">
            <v>68</v>
          </cell>
          <cell r="AP15">
            <v>38</v>
          </cell>
          <cell r="AQ15">
            <v>8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</row>
        <row r="16">
          <cell r="E16">
            <v>290</v>
          </cell>
          <cell r="F16">
            <v>300</v>
          </cell>
          <cell r="G16">
            <v>20</v>
          </cell>
          <cell r="H16">
            <v>10</v>
          </cell>
          <cell r="I16">
            <v>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510</v>
          </cell>
          <cell r="Q16">
            <v>520</v>
          </cell>
          <cell r="R16">
            <v>23</v>
          </cell>
          <cell r="S16">
            <v>14</v>
          </cell>
          <cell r="T16">
            <v>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AA16">
            <v>1600</v>
          </cell>
          <cell r="AB16">
            <v>1640</v>
          </cell>
          <cell r="AC16">
            <v>140</v>
          </cell>
          <cell r="AD16">
            <v>94</v>
          </cell>
          <cell r="AE16">
            <v>49</v>
          </cell>
          <cell r="AF16">
            <v>11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L16">
            <v>2320</v>
          </cell>
          <cell r="AM16">
            <v>2360</v>
          </cell>
          <cell r="AN16">
            <v>118</v>
          </cell>
          <cell r="AO16">
            <v>72</v>
          </cell>
          <cell r="AP16">
            <v>42</v>
          </cell>
          <cell r="AQ16">
            <v>12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E17">
            <v>300</v>
          </cell>
          <cell r="F17">
            <v>310</v>
          </cell>
          <cell r="G17">
            <v>22</v>
          </cell>
          <cell r="H17">
            <v>11</v>
          </cell>
          <cell r="I17">
            <v>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520</v>
          </cell>
          <cell r="Q17">
            <v>530</v>
          </cell>
          <cell r="R17">
            <v>25</v>
          </cell>
          <cell r="S17">
            <v>15</v>
          </cell>
          <cell r="T17">
            <v>8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1640</v>
          </cell>
          <cell r="AB17">
            <v>1680</v>
          </cell>
          <cell r="AC17">
            <v>146</v>
          </cell>
          <cell r="AD17">
            <v>100</v>
          </cell>
          <cell r="AE17">
            <v>55</v>
          </cell>
          <cell r="AF17">
            <v>15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L17">
            <v>2360</v>
          </cell>
          <cell r="AM17">
            <v>2400</v>
          </cell>
          <cell r="AN17">
            <v>124</v>
          </cell>
          <cell r="AO17">
            <v>78</v>
          </cell>
          <cell r="AP17">
            <v>46</v>
          </cell>
          <cell r="AQ17">
            <v>16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E18">
            <v>310</v>
          </cell>
          <cell r="F18">
            <v>320</v>
          </cell>
          <cell r="G18">
            <v>23</v>
          </cell>
          <cell r="H18">
            <v>13</v>
          </cell>
          <cell r="I18">
            <v>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530</v>
          </cell>
          <cell r="Q18">
            <v>540</v>
          </cell>
          <cell r="R18">
            <v>26</v>
          </cell>
          <cell r="S18">
            <v>16</v>
          </cell>
          <cell r="T18">
            <v>9</v>
          </cell>
          <cell r="U18">
            <v>2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AA18">
            <v>1680</v>
          </cell>
          <cell r="AB18">
            <v>1720</v>
          </cell>
          <cell r="AC18">
            <v>152</v>
          </cell>
          <cell r="AD18">
            <v>106</v>
          </cell>
          <cell r="AE18">
            <v>61</v>
          </cell>
          <cell r="AF18">
            <v>19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L18">
            <v>2400</v>
          </cell>
          <cell r="AM18">
            <v>2440</v>
          </cell>
          <cell r="AN18">
            <v>130</v>
          </cell>
          <cell r="AO18">
            <v>84</v>
          </cell>
          <cell r="AP18">
            <v>50</v>
          </cell>
          <cell r="AQ18">
            <v>20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E19">
            <v>320</v>
          </cell>
          <cell r="F19">
            <v>330</v>
          </cell>
          <cell r="G19">
            <v>25</v>
          </cell>
          <cell r="H19">
            <v>14</v>
          </cell>
          <cell r="I19">
            <v>5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540</v>
          </cell>
          <cell r="Q19">
            <v>550</v>
          </cell>
          <cell r="R19">
            <v>28</v>
          </cell>
          <cell r="S19">
            <v>17</v>
          </cell>
          <cell r="T19">
            <v>10</v>
          </cell>
          <cell r="U19">
            <v>3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AA19">
            <v>1720</v>
          </cell>
          <cell r="AB19">
            <v>1760</v>
          </cell>
          <cell r="AC19">
            <v>158</v>
          </cell>
          <cell r="AD19">
            <v>112</v>
          </cell>
          <cell r="AE19">
            <v>67</v>
          </cell>
          <cell r="AF19">
            <v>23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2440</v>
          </cell>
          <cell r="AM19">
            <v>2480</v>
          </cell>
          <cell r="AN19">
            <v>136</v>
          </cell>
          <cell r="AO19">
            <v>90</v>
          </cell>
          <cell r="AP19">
            <v>54</v>
          </cell>
          <cell r="AQ19">
            <v>24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E20">
            <v>330</v>
          </cell>
          <cell r="F20">
            <v>340</v>
          </cell>
          <cell r="G20">
            <v>26</v>
          </cell>
          <cell r="H20">
            <v>16</v>
          </cell>
          <cell r="I20">
            <v>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550</v>
          </cell>
          <cell r="Q20">
            <v>560</v>
          </cell>
          <cell r="R20">
            <v>29</v>
          </cell>
          <cell r="S20">
            <v>19</v>
          </cell>
          <cell r="T20">
            <v>11</v>
          </cell>
          <cell r="U20">
            <v>4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1760</v>
          </cell>
          <cell r="AB20">
            <v>1800</v>
          </cell>
          <cell r="AC20">
            <v>164</v>
          </cell>
          <cell r="AD20">
            <v>118</v>
          </cell>
          <cell r="AE20">
            <v>73</v>
          </cell>
          <cell r="AF20">
            <v>27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2480</v>
          </cell>
          <cell r="AM20">
            <v>2520</v>
          </cell>
          <cell r="AN20">
            <v>142</v>
          </cell>
          <cell r="AO20">
            <v>96</v>
          </cell>
          <cell r="AP20">
            <v>58</v>
          </cell>
          <cell r="AQ20">
            <v>28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E21">
            <v>340</v>
          </cell>
          <cell r="F21">
            <v>350</v>
          </cell>
          <cell r="G21">
            <v>28</v>
          </cell>
          <cell r="H21">
            <v>17</v>
          </cell>
          <cell r="I21">
            <v>7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560</v>
          </cell>
          <cell r="Q21">
            <v>570</v>
          </cell>
          <cell r="R21">
            <v>31</v>
          </cell>
          <cell r="S21">
            <v>20</v>
          </cell>
          <cell r="T21">
            <v>12</v>
          </cell>
          <cell r="U21">
            <v>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1800</v>
          </cell>
          <cell r="AB21">
            <v>1840</v>
          </cell>
          <cell r="AC21">
            <v>170</v>
          </cell>
          <cell r="AD21">
            <v>124</v>
          </cell>
          <cell r="AE21">
            <v>79</v>
          </cell>
          <cell r="AF21">
            <v>33</v>
          </cell>
          <cell r="AG21">
            <v>1</v>
          </cell>
          <cell r="AH21">
            <v>0</v>
          </cell>
          <cell r="AI21">
            <v>0</v>
          </cell>
          <cell r="AJ21">
            <v>0</v>
          </cell>
          <cell r="AL21">
            <v>2520</v>
          </cell>
          <cell r="AM21">
            <v>2560</v>
          </cell>
          <cell r="AN21">
            <v>148</v>
          </cell>
          <cell r="AO21">
            <v>102</v>
          </cell>
          <cell r="AP21">
            <v>62</v>
          </cell>
          <cell r="AQ21">
            <v>32</v>
          </cell>
          <cell r="AR21">
            <v>1</v>
          </cell>
          <cell r="AS21">
            <v>0</v>
          </cell>
          <cell r="AT21">
            <v>0</v>
          </cell>
          <cell r="AU21">
            <v>0</v>
          </cell>
        </row>
        <row r="22">
          <cell r="E22">
            <v>350</v>
          </cell>
          <cell r="F22">
            <v>360</v>
          </cell>
          <cell r="G22">
            <v>29</v>
          </cell>
          <cell r="H22">
            <v>19</v>
          </cell>
          <cell r="I22">
            <v>8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570</v>
          </cell>
          <cell r="Q22">
            <v>580</v>
          </cell>
          <cell r="R22">
            <v>32</v>
          </cell>
          <cell r="S22">
            <v>22</v>
          </cell>
          <cell r="T22">
            <v>13</v>
          </cell>
          <cell r="U22">
            <v>6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1840</v>
          </cell>
          <cell r="AB22">
            <v>1880</v>
          </cell>
          <cell r="AC22">
            <v>176</v>
          </cell>
          <cell r="AD22">
            <v>130</v>
          </cell>
          <cell r="AE22">
            <v>85</v>
          </cell>
          <cell r="AF22">
            <v>39</v>
          </cell>
          <cell r="AG22">
            <v>5</v>
          </cell>
          <cell r="AH22">
            <v>0</v>
          </cell>
          <cell r="AI22">
            <v>0</v>
          </cell>
          <cell r="AJ22">
            <v>0</v>
          </cell>
          <cell r="AL22">
            <v>2560</v>
          </cell>
          <cell r="AM22">
            <v>2600</v>
          </cell>
          <cell r="AN22">
            <v>154</v>
          </cell>
          <cell r="AO22">
            <v>108</v>
          </cell>
          <cell r="AP22">
            <v>66</v>
          </cell>
          <cell r="AQ22">
            <v>36</v>
          </cell>
          <cell r="AR22">
            <v>5</v>
          </cell>
          <cell r="AS22">
            <v>0</v>
          </cell>
          <cell r="AT22">
            <v>0</v>
          </cell>
          <cell r="AU22">
            <v>0</v>
          </cell>
        </row>
        <row r="23">
          <cell r="E23">
            <v>360</v>
          </cell>
          <cell r="F23">
            <v>370</v>
          </cell>
          <cell r="G23">
            <v>31</v>
          </cell>
          <cell r="H23">
            <v>20</v>
          </cell>
          <cell r="I23">
            <v>10</v>
          </cell>
          <cell r="J23">
            <v>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580</v>
          </cell>
          <cell r="Q23">
            <v>590</v>
          </cell>
          <cell r="R23">
            <v>34</v>
          </cell>
          <cell r="S23">
            <v>23</v>
          </cell>
          <cell r="T23">
            <v>14</v>
          </cell>
          <cell r="U23">
            <v>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A23">
            <v>1880</v>
          </cell>
          <cell r="AB23">
            <v>1920</v>
          </cell>
          <cell r="AC23">
            <v>182</v>
          </cell>
          <cell r="AD23">
            <v>136</v>
          </cell>
          <cell r="AE23">
            <v>91</v>
          </cell>
          <cell r="AF23">
            <v>45</v>
          </cell>
          <cell r="AG23">
            <v>9</v>
          </cell>
          <cell r="AH23">
            <v>0</v>
          </cell>
          <cell r="AI23">
            <v>0</v>
          </cell>
          <cell r="AJ23">
            <v>0</v>
          </cell>
          <cell r="AL23">
            <v>2600</v>
          </cell>
          <cell r="AM23">
            <v>2640</v>
          </cell>
          <cell r="AN23">
            <v>160</v>
          </cell>
          <cell r="AO23">
            <v>114</v>
          </cell>
          <cell r="AP23">
            <v>70</v>
          </cell>
          <cell r="AQ23">
            <v>40</v>
          </cell>
          <cell r="AR23">
            <v>9</v>
          </cell>
          <cell r="AS23">
            <v>0</v>
          </cell>
          <cell r="AT23">
            <v>0</v>
          </cell>
          <cell r="AU23">
            <v>0</v>
          </cell>
        </row>
        <row r="24">
          <cell r="E24">
            <v>370</v>
          </cell>
          <cell r="F24">
            <v>380</v>
          </cell>
          <cell r="G24">
            <v>32</v>
          </cell>
          <cell r="H24">
            <v>22</v>
          </cell>
          <cell r="I24">
            <v>11</v>
          </cell>
          <cell r="J24">
            <v>3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590</v>
          </cell>
          <cell r="Q24">
            <v>600</v>
          </cell>
          <cell r="R24">
            <v>35</v>
          </cell>
          <cell r="S24">
            <v>25</v>
          </cell>
          <cell r="T24">
            <v>15</v>
          </cell>
          <cell r="U24">
            <v>8</v>
          </cell>
          <cell r="V24">
            <v>1</v>
          </cell>
          <cell r="W24">
            <v>0</v>
          </cell>
          <cell r="X24">
            <v>0</v>
          </cell>
          <cell r="Y24">
            <v>0</v>
          </cell>
          <cell r="AA24">
            <v>1920</v>
          </cell>
          <cell r="AB24">
            <v>1960</v>
          </cell>
          <cell r="AC24">
            <v>188</v>
          </cell>
          <cell r="AD24">
            <v>142</v>
          </cell>
          <cell r="AE24">
            <v>97</v>
          </cell>
          <cell r="AF24">
            <v>51</v>
          </cell>
          <cell r="AG24">
            <v>13</v>
          </cell>
          <cell r="AH24">
            <v>0</v>
          </cell>
          <cell r="AI24">
            <v>0</v>
          </cell>
          <cell r="AJ24">
            <v>0</v>
          </cell>
          <cell r="AL24">
            <v>2640</v>
          </cell>
          <cell r="AM24">
            <v>2680</v>
          </cell>
          <cell r="AN24">
            <v>166</v>
          </cell>
          <cell r="AO24">
            <v>120</v>
          </cell>
          <cell r="AP24">
            <v>75</v>
          </cell>
          <cell r="AQ24">
            <v>44</v>
          </cell>
          <cell r="AR24">
            <v>13</v>
          </cell>
          <cell r="AS24">
            <v>0</v>
          </cell>
          <cell r="AT24">
            <v>0</v>
          </cell>
          <cell r="AU24">
            <v>0</v>
          </cell>
        </row>
        <row r="25">
          <cell r="E25">
            <v>380</v>
          </cell>
          <cell r="F25">
            <v>390</v>
          </cell>
          <cell r="G25">
            <v>34</v>
          </cell>
          <cell r="H25">
            <v>23</v>
          </cell>
          <cell r="I25">
            <v>13</v>
          </cell>
          <cell r="J25">
            <v>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600</v>
          </cell>
          <cell r="Q25">
            <v>610</v>
          </cell>
          <cell r="R25">
            <v>37</v>
          </cell>
          <cell r="S25">
            <v>26</v>
          </cell>
          <cell r="T25">
            <v>16</v>
          </cell>
          <cell r="U25">
            <v>9</v>
          </cell>
          <cell r="V25">
            <v>2</v>
          </cell>
          <cell r="W25">
            <v>0</v>
          </cell>
          <cell r="X25">
            <v>0</v>
          </cell>
          <cell r="Y25">
            <v>0</v>
          </cell>
          <cell r="AA25">
            <v>1960</v>
          </cell>
          <cell r="AB25">
            <v>2000</v>
          </cell>
          <cell r="AC25">
            <v>194</v>
          </cell>
          <cell r="AD25">
            <v>148</v>
          </cell>
          <cell r="AE25">
            <v>103</v>
          </cell>
          <cell r="AF25">
            <v>57</v>
          </cell>
          <cell r="AG25">
            <v>17</v>
          </cell>
          <cell r="AH25">
            <v>0</v>
          </cell>
          <cell r="AI25">
            <v>0</v>
          </cell>
          <cell r="AJ25">
            <v>0</v>
          </cell>
          <cell r="AL25">
            <v>2680</v>
          </cell>
          <cell r="AM25">
            <v>2720</v>
          </cell>
          <cell r="AN25">
            <v>172</v>
          </cell>
          <cell r="AO25">
            <v>126</v>
          </cell>
          <cell r="AP25">
            <v>81</v>
          </cell>
          <cell r="AQ25">
            <v>48</v>
          </cell>
          <cell r="AR25">
            <v>17</v>
          </cell>
          <cell r="AS25">
            <v>0</v>
          </cell>
          <cell r="AT25">
            <v>0</v>
          </cell>
          <cell r="AU25">
            <v>0</v>
          </cell>
        </row>
        <row r="26">
          <cell r="E26">
            <v>390</v>
          </cell>
          <cell r="F26">
            <v>400</v>
          </cell>
          <cell r="G26">
            <v>35</v>
          </cell>
          <cell r="H26">
            <v>25</v>
          </cell>
          <cell r="I26">
            <v>14</v>
          </cell>
          <cell r="J26">
            <v>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610</v>
          </cell>
          <cell r="Q26">
            <v>620</v>
          </cell>
          <cell r="R26">
            <v>38</v>
          </cell>
          <cell r="S26">
            <v>28</v>
          </cell>
          <cell r="T26">
            <v>17</v>
          </cell>
          <cell r="U26">
            <v>10</v>
          </cell>
          <cell r="V26">
            <v>3</v>
          </cell>
          <cell r="W26">
            <v>0</v>
          </cell>
          <cell r="X26">
            <v>0</v>
          </cell>
          <cell r="Y26">
            <v>0</v>
          </cell>
          <cell r="AA26">
            <v>2000</v>
          </cell>
          <cell r="AB26">
            <v>2040</v>
          </cell>
          <cell r="AC26">
            <v>200</v>
          </cell>
          <cell r="AD26">
            <v>154</v>
          </cell>
          <cell r="AE26">
            <v>109</v>
          </cell>
          <cell r="AF26">
            <v>63</v>
          </cell>
          <cell r="AG26">
            <v>21</v>
          </cell>
          <cell r="AH26">
            <v>0</v>
          </cell>
          <cell r="AI26">
            <v>0</v>
          </cell>
          <cell r="AJ26">
            <v>0</v>
          </cell>
          <cell r="AL26">
            <v>2720</v>
          </cell>
          <cell r="AM26">
            <v>2760</v>
          </cell>
          <cell r="AN26">
            <v>178</v>
          </cell>
          <cell r="AO26">
            <v>132</v>
          </cell>
          <cell r="AP26">
            <v>87</v>
          </cell>
          <cell r="AQ26">
            <v>52</v>
          </cell>
          <cell r="AR26">
            <v>21</v>
          </cell>
          <cell r="AS26">
            <v>0</v>
          </cell>
          <cell r="AT26">
            <v>0</v>
          </cell>
          <cell r="AU26">
            <v>0</v>
          </cell>
        </row>
        <row r="27">
          <cell r="E27">
            <v>400</v>
          </cell>
          <cell r="F27">
            <v>410</v>
          </cell>
          <cell r="G27">
            <v>37</v>
          </cell>
          <cell r="H27">
            <v>26</v>
          </cell>
          <cell r="I27">
            <v>16</v>
          </cell>
          <cell r="J27">
            <v>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620</v>
          </cell>
          <cell r="Q27">
            <v>630</v>
          </cell>
          <cell r="R27">
            <v>40</v>
          </cell>
          <cell r="S27">
            <v>29</v>
          </cell>
          <cell r="T27">
            <v>19</v>
          </cell>
          <cell r="U27">
            <v>11</v>
          </cell>
          <cell r="V27">
            <v>4</v>
          </cell>
          <cell r="W27">
            <v>0</v>
          </cell>
          <cell r="X27">
            <v>0</v>
          </cell>
          <cell r="Y27">
            <v>0</v>
          </cell>
          <cell r="AA27">
            <v>2040</v>
          </cell>
          <cell r="AB27">
            <v>2080</v>
          </cell>
          <cell r="AC27">
            <v>206</v>
          </cell>
          <cell r="AD27">
            <v>160</v>
          </cell>
          <cell r="AE27">
            <v>115</v>
          </cell>
          <cell r="AF27">
            <v>69</v>
          </cell>
          <cell r="AG27">
            <v>25</v>
          </cell>
          <cell r="AH27">
            <v>0</v>
          </cell>
          <cell r="AI27">
            <v>0</v>
          </cell>
          <cell r="AJ27">
            <v>0</v>
          </cell>
          <cell r="AL27">
            <v>2760</v>
          </cell>
          <cell r="AM27">
            <v>2800</v>
          </cell>
          <cell r="AN27">
            <v>184</v>
          </cell>
          <cell r="AO27">
            <v>138</v>
          </cell>
          <cell r="AP27">
            <v>93</v>
          </cell>
          <cell r="AQ27">
            <v>56</v>
          </cell>
          <cell r="AR27">
            <v>25</v>
          </cell>
          <cell r="AS27">
            <v>0</v>
          </cell>
          <cell r="AT27">
            <v>0</v>
          </cell>
          <cell r="AU27">
            <v>0</v>
          </cell>
        </row>
        <row r="28">
          <cell r="E28">
            <v>410</v>
          </cell>
          <cell r="F28">
            <v>420</v>
          </cell>
          <cell r="G28">
            <v>38</v>
          </cell>
          <cell r="H28">
            <v>28</v>
          </cell>
          <cell r="I28">
            <v>17</v>
          </cell>
          <cell r="J28">
            <v>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630</v>
          </cell>
          <cell r="Q28">
            <v>640</v>
          </cell>
          <cell r="R28">
            <v>41</v>
          </cell>
          <cell r="S28">
            <v>31</v>
          </cell>
          <cell r="T28">
            <v>20</v>
          </cell>
          <cell r="U28">
            <v>12</v>
          </cell>
          <cell r="V28">
            <v>5</v>
          </cell>
          <cell r="W28">
            <v>0</v>
          </cell>
          <cell r="X28">
            <v>0</v>
          </cell>
          <cell r="Y28">
            <v>0</v>
          </cell>
          <cell r="AA28">
            <v>2080</v>
          </cell>
          <cell r="AB28">
            <v>2120</v>
          </cell>
          <cell r="AC28">
            <v>212</v>
          </cell>
          <cell r="AD28">
            <v>166</v>
          </cell>
          <cell r="AE28">
            <v>121</v>
          </cell>
          <cell r="AF28">
            <v>75</v>
          </cell>
          <cell r="AG28">
            <v>29</v>
          </cell>
          <cell r="AH28">
            <v>0</v>
          </cell>
          <cell r="AI28">
            <v>0</v>
          </cell>
          <cell r="AJ28">
            <v>0</v>
          </cell>
          <cell r="AL28">
            <v>2800</v>
          </cell>
          <cell r="AM28">
            <v>2840</v>
          </cell>
          <cell r="AN28">
            <v>190</v>
          </cell>
          <cell r="AO28">
            <v>144</v>
          </cell>
          <cell r="AP28">
            <v>99</v>
          </cell>
          <cell r="AQ28">
            <v>60</v>
          </cell>
          <cell r="AR28">
            <v>29</v>
          </cell>
          <cell r="AS28">
            <v>0</v>
          </cell>
          <cell r="AT28">
            <v>0</v>
          </cell>
          <cell r="AU28">
            <v>0</v>
          </cell>
        </row>
        <row r="29">
          <cell r="E29">
            <v>420</v>
          </cell>
          <cell r="F29">
            <v>430</v>
          </cell>
          <cell r="G29">
            <v>40</v>
          </cell>
          <cell r="H29">
            <v>29</v>
          </cell>
          <cell r="I29">
            <v>19</v>
          </cell>
          <cell r="J29">
            <v>8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P29">
            <v>640</v>
          </cell>
          <cell r="Q29">
            <v>650</v>
          </cell>
          <cell r="R29">
            <v>43</v>
          </cell>
          <cell r="S29">
            <v>32</v>
          </cell>
          <cell r="T29">
            <v>22</v>
          </cell>
          <cell r="U29">
            <v>13</v>
          </cell>
          <cell r="V29">
            <v>6</v>
          </cell>
          <cell r="W29">
            <v>0</v>
          </cell>
          <cell r="X29">
            <v>0</v>
          </cell>
          <cell r="Y29">
            <v>0</v>
          </cell>
          <cell r="AA29">
            <v>2120</v>
          </cell>
          <cell r="AB29">
            <v>2160</v>
          </cell>
          <cell r="AC29">
            <v>218</v>
          </cell>
          <cell r="AD29">
            <v>172</v>
          </cell>
          <cell r="AE29">
            <v>127</v>
          </cell>
          <cell r="AF29">
            <v>81</v>
          </cell>
          <cell r="AG29">
            <v>35</v>
          </cell>
          <cell r="AH29">
            <v>0</v>
          </cell>
          <cell r="AI29">
            <v>0</v>
          </cell>
          <cell r="AJ29">
            <v>0</v>
          </cell>
          <cell r="AL29">
            <v>2840</v>
          </cell>
          <cell r="AM29">
            <v>2880</v>
          </cell>
          <cell r="AN29">
            <v>196</v>
          </cell>
          <cell r="AO29">
            <v>150</v>
          </cell>
          <cell r="AP29">
            <v>105</v>
          </cell>
          <cell r="AQ29">
            <v>64</v>
          </cell>
          <cell r="AR29">
            <v>33</v>
          </cell>
          <cell r="AS29">
            <v>3</v>
          </cell>
          <cell r="AT29">
            <v>0</v>
          </cell>
          <cell r="AU29">
            <v>0</v>
          </cell>
        </row>
        <row r="30">
          <cell r="E30">
            <v>430</v>
          </cell>
          <cell r="F30">
            <v>440</v>
          </cell>
          <cell r="G30">
            <v>41</v>
          </cell>
          <cell r="H30">
            <v>31</v>
          </cell>
          <cell r="I30">
            <v>20</v>
          </cell>
          <cell r="J30">
            <v>10</v>
          </cell>
          <cell r="K30">
            <v>2</v>
          </cell>
          <cell r="L30">
            <v>0</v>
          </cell>
          <cell r="M30">
            <v>0</v>
          </cell>
          <cell r="N30">
            <v>0</v>
          </cell>
          <cell r="P30">
            <v>650</v>
          </cell>
          <cell r="Q30">
            <v>660</v>
          </cell>
          <cell r="R30">
            <v>44</v>
          </cell>
          <cell r="S30">
            <v>34</v>
          </cell>
          <cell r="T30">
            <v>23</v>
          </cell>
          <cell r="U30">
            <v>14</v>
          </cell>
          <cell r="V30">
            <v>7</v>
          </cell>
          <cell r="W30">
            <v>0</v>
          </cell>
          <cell r="X30">
            <v>0</v>
          </cell>
          <cell r="Y30">
            <v>0</v>
          </cell>
          <cell r="AA30">
            <v>2160</v>
          </cell>
          <cell r="AB30">
            <v>2200</v>
          </cell>
          <cell r="AC30">
            <v>224</v>
          </cell>
          <cell r="AD30">
            <v>178</v>
          </cell>
          <cell r="AE30">
            <v>133</v>
          </cell>
          <cell r="AF30">
            <v>87</v>
          </cell>
          <cell r="AG30">
            <v>41</v>
          </cell>
          <cell r="AH30">
            <v>6</v>
          </cell>
          <cell r="AI30">
            <v>0</v>
          </cell>
          <cell r="AJ30">
            <v>0</v>
          </cell>
          <cell r="AL30">
            <v>2880</v>
          </cell>
          <cell r="AM30">
            <v>2920</v>
          </cell>
          <cell r="AN30">
            <v>202</v>
          </cell>
          <cell r="AO30">
            <v>156</v>
          </cell>
          <cell r="AP30">
            <v>111</v>
          </cell>
          <cell r="AQ30">
            <v>68</v>
          </cell>
          <cell r="AR30">
            <v>37</v>
          </cell>
          <cell r="AS30">
            <v>7</v>
          </cell>
          <cell r="AT30">
            <v>0</v>
          </cell>
          <cell r="AU30">
            <v>0</v>
          </cell>
        </row>
        <row r="31">
          <cell r="E31">
            <v>440</v>
          </cell>
          <cell r="F31">
            <v>450</v>
          </cell>
          <cell r="G31">
            <v>43</v>
          </cell>
          <cell r="H31">
            <v>32</v>
          </cell>
          <cell r="I31">
            <v>22</v>
          </cell>
          <cell r="J31">
            <v>11</v>
          </cell>
          <cell r="K31">
            <v>3</v>
          </cell>
          <cell r="L31">
            <v>0</v>
          </cell>
          <cell r="M31">
            <v>0</v>
          </cell>
          <cell r="N31">
            <v>0</v>
          </cell>
          <cell r="P31">
            <v>660</v>
          </cell>
          <cell r="Q31">
            <v>670</v>
          </cell>
          <cell r="R31">
            <v>46</v>
          </cell>
          <cell r="S31">
            <v>35</v>
          </cell>
          <cell r="T31">
            <v>25</v>
          </cell>
          <cell r="U31">
            <v>15</v>
          </cell>
          <cell r="V31">
            <v>8</v>
          </cell>
          <cell r="W31">
            <v>1</v>
          </cell>
          <cell r="X31">
            <v>0</v>
          </cell>
          <cell r="Y31">
            <v>0</v>
          </cell>
          <cell r="AA31">
            <v>2200</v>
          </cell>
          <cell r="AB31">
            <v>2240</v>
          </cell>
          <cell r="AC31">
            <v>230</v>
          </cell>
          <cell r="AD31">
            <v>184</v>
          </cell>
          <cell r="AE31">
            <v>139</v>
          </cell>
          <cell r="AF31">
            <v>93</v>
          </cell>
          <cell r="AG31">
            <v>47</v>
          </cell>
          <cell r="AH31">
            <v>10</v>
          </cell>
          <cell r="AI31">
            <v>0</v>
          </cell>
          <cell r="AJ31">
            <v>0</v>
          </cell>
          <cell r="AL31">
            <v>2920</v>
          </cell>
          <cell r="AM31">
            <v>2960</v>
          </cell>
          <cell r="AN31">
            <v>208</v>
          </cell>
          <cell r="AO31">
            <v>162</v>
          </cell>
          <cell r="AP31">
            <v>117</v>
          </cell>
          <cell r="AQ31">
            <v>72</v>
          </cell>
          <cell r="AR31">
            <v>41</v>
          </cell>
          <cell r="AS31">
            <v>11</v>
          </cell>
          <cell r="AT31">
            <v>0</v>
          </cell>
          <cell r="AU31">
            <v>0</v>
          </cell>
        </row>
        <row r="32">
          <cell r="E32">
            <v>450</v>
          </cell>
          <cell r="F32">
            <v>460</v>
          </cell>
          <cell r="G32">
            <v>44</v>
          </cell>
          <cell r="H32">
            <v>34</v>
          </cell>
          <cell r="I32">
            <v>23</v>
          </cell>
          <cell r="J32">
            <v>13</v>
          </cell>
          <cell r="K32">
            <v>4</v>
          </cell>
          <cell r="L32">
            <v>0</v>
          </cell>
          <cell r="M32">
            <v>0</v>
          </cell>
          <cell r="N32">
            <v>0</v>
          </cell>
          <cell r="P32">
            <v>670</v>
          </cell>
          <cell r="Q32">
            <v>680</v>
          </cell>
          <cell r="R32">
            <v>47</v>
          </cell>
          <cell r="S32">
            <v>37</v>
          </cell>
          <cell r="T32">
            <v>26</v>
          </cell>
          <cell r="U32">
            <v>16</v>
          </cell>
          <cell r="V32">
            <v>9</v>
          </cell>
          <cell r="W32">
            <v>2</v>
          </cell>
          <cell r="X32">
            <v>0</v>
          </cell>
          <cell r="Y32">
            <v>0</v>
          </cell>
          <cell r="AA32">
            <v>2240</v>
          </cell>
          <cell r="AB32">
            <v>2280</v>
          </cell>
          <cell r="AC32">
            <v>236</v>
          </cell>
          <cell r="AD32">
            <v>190</v>
          </cell>
          <cell r="AE32">
            <v>145</v>
          </cell>
          <cell r="AF32">
            <v>99</v>
          </cell>
          <cell r="AG32">
            <v>53</v>
          </cell>
          <cell r="AH32">
            <v>14</v>
          </cell>
          <cell r="AI32">
            <v>0</v>
          </cell>
          <cell r="AJ32">
            <v>0</v>
          </cell>
          <cell r="AL32">
            <v>2960</v>
          </cell>
          <cell r="AM32">
            <v>3000</v>
          </cell>
          <cell r="AN32">
            <v>214</v>
          </cell>
          <cell r="AO32">
            <v>168</v>
          </cell>
          <cell r="AP32">
            <v>123</v>
          </cell>
          <cell r="AQ32">
            <v>77</v>
          </cell>
          <cell r="AR32">
            <v>45</v>
          </cell>
          <cell r="AS32">
            <v>15</v>
          </cell>
          <cell r="AT32">
            <v>0</v>
          </cell>
          <cell r="AU32">
            <v>0</v>
          </cell>
        </row>
        <row r="33">
          <cell r="E33">
            <v>460</v>
          </cell>
          <cell r="F33">
            <v>470</v>
          </cell>
          <cell r="G33">
            <v>46</v>
          </cell>
          <cell r="H33">
            <v>35</v>
          </cell>
          <cell r="I33">
            <v>25</v>
          </cell>
          <cell r="J33">
            <v>14</v>
          </cell>
          <cell r="K33">
            <v>5</v>
          </cell>
          <cell r="L33">
            <v>0</v>
          </cell>
          <cell r="M33">
            <v>0</v>
          </cell>
          <cell r="N33">
            <v>0</v>
          </cell>
          <cell r="P33">
            <v>680</v>
          </cell>
          <cell r="Q33">
            <v>690</v>
          </cell>
          <cell r="R33">
            <v>49</v>
          </cell>
          <cell r="S33">
            <v>38</v>
          </cell>
          <cell r="T33">
            <v>28</v>
          </cell>
          <cell r="U33">
            <v>17</v>
          </cell>
          <cell r="V33">
            <v>10</v>
          </cell>
          <cell r="W33">
            <v>3</v>
          </cell>
          <cell r="X33">
            <v>0</v>
          </cell>
          <cell r="Y33">
            <v>0</v>
          </cell>
          <cell r="AA33">
            <v>2280</v>
          </cell>
          <cell r="AB33">
            <v>2320</v>
          </cell>
          <cell r="AC33">
            <v>242</v>
          </cell>
          <cell r="AD33">
            <v>196</v>
          </cell>
          <cell r="AE33">
            <v>151</v>
          </cell>
          <cell r="AF33">
            <v>105</v>
          </cell>
          <cell r="AG33">
            <v>59</v>
          </cell>
          <cell r="AH33">
            <v>18</v>
          </cell>
          <cell r="AI33">
            <v>0</v>
          </cell>
          <cell r="AJ33">
            <v>0</v>
          </cell>
          <cell r="AL33">
            <v>3000</v>
          </cell>
          <cell r="AM33">
            <v>3040</v>
          </cell>
          <cell r="AN33">
            <v>220</v>
          </cell>
          <cell r="AO33">
            <v>174</v>
          </cell>
          <cell r="AP33">
            <v>129</v>
          </cell>
          <cell r="AQ33">
            <v>83</v>
          </cell>
          <cell r="AR33">
            <v>49</v>
          </cell>
          <cell r="AS33">
            <v>19</v>
          </cell>
          <cell r="AT33">
            <v>0</v>
          </cell>
          <cell r="AU33">
            <v>0</v>
          </cell>
        </row>
        <row r="34">
          <cell r="E34">
            <v>470</v>
          </cell>
          <cell r="F34">
            <v>480</v>
          </cell>
          <cell r="G34">
            <v>47</v>
          </cell>
          <cell r="H34">
            <v>37</v>
          </cell>
          <cell r="I34">
            <v>26</v>
          </cell>
          <cell r="J34">
            <v>16</v>
          </cell>
          <cell r="K34">
            <v>6</v>
          </cell>
          <cell r="L34">
            <v>0</v>
          </cell>
          <cell r="M34">
            <v>0</v>
          </cell>
          <cell r="N34">
            <v>0</v>
          </cell>
          <cell r="P34">
            <v>690</v>
          </cell>
          <cell r="Q34">
            <v>700</v>
          </cell>
          <cell r="R34">
            <v>50</v>
          </cell>
          <cell r="S34">
            <v>40</v>
          </cell>
          <cell r="T34">
            <v>29</v>
          </cell>
          <cell r="U34">
            <v>19</v>
          </cell>
          <cell r="V34">
            <v>11</v>
          </cell>
          <cell r="W34">
            <v>4</v>
          </cell>
          <cell r="X34">
            <v>0</v>
          </cell>
          <cell r="Y34">
            <v>0</v>
          </cell>
          <cell r="AA34">
            <v>2320</v>
          </cell>
          <cell r="AB34">
            <v>2360</v>
          </cell>
          <cell r="AC34">
            <v>248</v>
          </cell>
          <cell r="AD34">
            <v>202</v>
          </cell>
          <cell r="AE34">
            <v>157</v>
          </cell>
          <cell r="AF34">
            <v>111</v>
          </cell>
          <cell r="AG34">
            <v>65</v>
          </cell>
          <cell r="AH34">
            <v>22</v>
          </cell>
          <cell r="AI34">
            <v>0</v>
          </cell>
          <cell r="AJ34">
            <v>0</v>
          </cell>
          <cell r="AL34">
            <v>3040</v>
          </cell>
          <cell r="AM34">
            <v>3080</v>
          </cell>
          <cell r="AN34">
            <v>226</v>
          </cell>
          <cell r="AO34">
            <v>180</v>
          </cell>
          <cell r="AP34">
            <v>135</v>
          </cell>
          <cell r="AQ34">
            <v>89</v>
          </cell>
          <cell r="AR34">
            <v>53</v>
          </cell>
          <cell r="AS34">
            <v>23</v>
          </cell>
          <cell r="AT34">
            <v>0</v>
          </cell>
          <cell r="AU34">
            <v>0</v>
          </cell>
        </row>
        <row r="35">
          <cell r="E35">
            <v>480</v>
          </cell>
          <cell r="F35">
            <v>490</v>
          </cell>
          <cell r="G35">
            <v>49</v>
          </cell>
          <cell r="H35">
            <v>38</v>
          </cell>
          <cell r="I35">
            <v>28</v>
          </cell>
          <cell r="J35">
            <v>17</v>
          </cell>
          <cell r="K35">
            <v>7</v>
          </cell>
          <cell r="L35">
            <v>0</v>
          </cell>
          <cell r="M35">
            <v>0</v>
          </cell>
          <cell r="N35">
            <v>0</v>
          </cell>
          <cell r="P35">
            <v>700</v>
          </cell>
          <cell r="Q35">
            <v>710</v>
          </cell>
          <cell r="R35">
            <v>52</v>
          </cell>
          <cell r="S35">
            <v>41</v>
          </cell>
          <cell r="T35">
            <v>31</v>
          </cell>
          <cell r="U35">
            <v>20</v>
          </cell>
          <cell r="V35">
            <v>12</v>
          </cell>
          <cell r="W35">
            <v>5</v>
          </cell>
          <cell r="X35">
            <v>0</v>
          </cell>
          <cell r="Y35">
            <v>0</v>
          </cell>
          <cell r="AA35">
            <v>2360</v>
          </cell>
          <cell r="AB35">
            <v>2400</v>
          </cell>
          <cell r="AC35">
            <v>254</v>
          </cell>
          <cell r="AD35">
            <v>208</v>
          </cell>
          <cell r="AE35">
            <v>163</v>
          </cell>
          <cell r="AF35">
            <v>117</v>
          </cell>
          <cell r="AG35">
            <v>71</v>
          </cell>
          <cell r="AH35">
            <v>26</v>
          </cell>
          <cell r="AI35">
            <v>0</v>
          </cell>
          <cell r="AJ35">
            <v>0</v>
          </cell>
          <cell r="AL35">
            <v>3080</v>
          </cell>
          <cell r="AM35">
            <v>3120</v>
          </cell>
          <cell r="AN35">
            <v>232</v>
          </cell>
          <cell r="AO35">
            <v>186</v>
          </cell>
          <cell r="AP35">
            <v>141</v>
          </cell>
          <cell r="AQ35">
            <v>95</v>
          </cell>
          <cell r="AR35">
            <v>57</v>
          </cell>
          <cell r="AS35">
            <v>27</v>
          </cell>
          <cell r="AT35">
            <v>0</v>
          </cell>
          <cell r="AU35">
            <v>0</v>
          </cell>
        </row>
        <row r="36">
          <cell r="E36">
            <v>490</v>
          </cell>
          <cell r="F36">
            <v>500</v>
          </cell>
          <cell r="G36">
            <v>50</v>
          </cell>
          <cell r="H36">
            <v>40</v>
          </cell>
          <cell r="I36">
            <v>29</v>
          </cell>
          <cell r="J36">
            <v>19</v>
          </cell>
          <cell r="K36">
            <v>8</v>
          </cell>
          <cell r="L36">
            <v>1</v>
          </cell>
          <cell r="M36">
            <v>0</v>
          </cell>
          <cell r="N36">
            <v>0</v>
          </cell>
          <cell r="P36">
            <v>710</v>
          </cell>
          <cell r="Q36">
            <v>720</v>
          </cell>
          <cell r="R36">
            <v>53</v>
          </cell>
          <cell r="S36">
            <v>43</v>
          </cell>
          <cell r="T36">
            <v>32</v>
          </cell>
          <cell r="U36">
            <v>22</v>
          </cell>
          <cell r="V36">
            <v>13</v>
          </cell>
          <cell r="W36">
            <v>6</v>
          </cell>
          <cell r="X36">
            <v>0</v>
          </cell>
          <cell r="Y36">
            <v>0</v>
          </cell>
          <cell r="AA36">
            <v>2400</v>
          </cell>
          <cell r="AB36">
            <v>2440</v>
          </cell>
          <cell r="AC36">
            <v>260</v>
          </cell>
          <cell r="AD36">
            <v>214</v>
          </cell>
          <cell r="AE36">
            <v>169</v>
          </cell>
          <cell r="AF36">
            <v>123</v>
          </cell>
          <cell r="AG36">
            <v>77</v>
          </cell>
          <cell r="AH36">
            <v>32</v>
          </cell>
          <cell r="AI36">
            <v>0</v>
          </cell>
          <cell r="AJ36">
            <v>0</v>
          </cell>
          <cell r="AL36">
            <v>3120</v>
          </cell>
          <cell r="AM36">
            <v>3160</v>
          </cell>
          <cell r="AN36">
            <v>238</v>
          </cell>
          <cell r="AO36">
            <v>192</v>
          </cell>
          <cell r="AP36">
            <v>147</v>
          </cell>
          <cell r="AQ36">
            <v>101</v>
          </cell>
          <cell r="AR36">
            <v>61</v>
          </cell>
          <cell r="AS36">
            <v>31</v>
          </cell>
          <cell r="AT36">
            <v>0</v>
          </cell>
          <cell r="AU36">
            <v>0</v>
          </cell>
        </row>
        <row r="37">
          <cell r="E37">
            <v>500</v>
          </cell>
          <cell r="F37">
            <v>510</v>
          </cell>
          <cell r="G37">
            <v>52</v>
          </cell>
          <cell r="H37">
            <v>41</v>
          </cell>
          <cell r="I37">
            <v>31</v>
          </cell>
          <cell r="J37">
            <v>20</v>
          </cell>
          <cell r="K37">
            <v>10</v>
          </cell>
          <cell r="L37">
            <v>2</v>
          </cell>
          <cell r="M37">
            <v>0</v>
          </cell>
          <cell r="N37">
            <v>0</v>
          </cell>
          <cell r="P37">
            <v>720</v>
          </cell>
          <cell r="Q37">
            <v>730</v>
          </cell>
          <cell r="R37">
            <v>55</v>
          </cell>
          <cell r="S37">
            <v>44</v>
          </cell>
          <cell r="T37">
            <v>34</v>
          </cell>
          <cell r="U37">
            <v>23</v>
          </cell>
          <cell r="V37">
            <v>14</v>
          </cell>
          <cell r="W37">
            <v>7</v>
          </cell>
          <cell r="X37">
            <v>0</v>
          </cell>
          <cell r="Y37">
            <v>0</v>
          </cell>
          <cell r="AA37">
            <v>2440</v>
          </cell>
          <cell r="AB37">
            <v>2480</v>
          </cell>
          <cell r="AC37">
            <v>266</v>
          </cell>
          <cell r="AD37">
            <v>220</v>
          </cell>
          <cell r="AE37">
            <v>175</v>
          </cell>
          <cell r="AF37">
            <v>129</v>
          </cell>
          <cell r="AG37">
            <v>83</v>
          </cell>
          <cell r="AH37">
            <v>38</v>
          </cell>
          <cell r="AI37">
            <v>4</v>
          </cell>
          <cell r="AJ37">
            <v>0</v>
          </cell>
          <cell r="AL37">
            <v>3160</v>
          </cell>
          <cell r="AM37">
            <v>3200</v>
          </cell>
          <cell r="AN37">
            <v>244</v>
          </cell>
          <cell r="AO37">
            <v>198</v>
          </cell>
          <cell r="AP37">
            <v>153</v>
          </cell>
          <cell r="AQ37">
            <v>107</v>
          </cell>
          <cell r="AR37">
            <v>65</v>
          </cell>
          <cell r="AS37">
            <v>35</v>
          </cell>
          <cell r="AT37">
            <v>4</v>
          </cell>
          <cell r="AU37">
            <v>0</v>
          </cell>
        </row>
        <row r="38">
          <cell r="E38">
            <v>510</v>
          </cell>
          <cell r="F38">
            <v>520</v>
          </cell>
          <cell r="G38">
            <v>53</v>
          </cell>
          <cell r="H38">
            <v>43</v>
          </cell>
          <cell r="I38">
            <v>32</v>
          </cell>
          <cell r="J38">
            <v>22</v>
          </cell>
          <cell r="K38">
            <v>11</v>
          </cell>
          <cell r="L38">
            <v>3</v>
          </cell>
          <cell r="M38">
            <v>0</v>
          </cell>
          <cell r="N38">
            <v>0</v>
          </cell>
          <cell r="P38">
            <v>730</v>
          </cell>
          <cell r="Q38">
            <v>740</v>
          </cell>
          <cell r="R38">
            <v>56</v>
          </cell>
          <cell r="S38">
            <v>46</v>
          </cell>
          <cell r="T38">
            <v>35</v>
          </cell>
          <cell r="U38">
            <v>25</v>
          </cell>
          <cell r="V38">
            <v>15</v>
          </cell>
          <cell r="W38">
            <v>8</v>
          </cell>
          <cell r="X38">
            <v>1</v>
          </cell>
          <cell r="Y38">
            <v>0</v>
          </cell>
          <cell r="AA38">
            <v>2480</v>
          </cell>
          <cell r="AB38">
            <v>2520</v>
          </cell>
          <cell r="AC38">
            <v>272</v>
          </cell>
          <cell r="AD38">
            <v>226</v>
          </cell>
          <cell r="AE38">
            <v>181</v>
          </cell>
          <cell r="AF38">
            <v>135</v>
          </cell>
          <cell r="AG38">
            <v>89</v>
          </cell>
          <cell r="AH38">
            <v>44</v>
          </cell>
          <cell r="AI38">
            <v>8</v>
          </cell>
          <cell r="AJ38">
            <v>0</v>
          </cell>
          <cell r="AL38">
            <v>3200</v>
          </cell>
          <cell r="AM38">
            <v>3240</v>
          </cell>
          <cell r="AN38">
            <v>250</v>
          </cell>
          <cell r="AO38">
            <v>204</v>
          </cell>
          <cell r="AP38">
            <v>159</v>
          </cell>
          <cell r="AQ38">
            <v>113</v>
          </cell>
          <cell r="AR38">
            <v>69</v>
          </cell>
          <cell r="AS38">
            <v>39</v>
          </cell>
          <cell r="AT38">
            <v>8</v>
          </cell>
          <cell r="AU38">
            <v>0</v>
          </cell>
        </row>
        <row r="39">
          <cell r="E39">
            <v>520</v>
          </cell>
          <cell r="F39">
            <v>530</v>
          </cell>
          <cell r="G39">
            <v>55</v>
          </cell>
          <cell r="H39">
            <v>44</v>
          </cell>
          <cell r="I39">
            <v>34</v>
          </cell>
          <cell r="J39">
            <v>23</v>
          </cell>
          <cell r="K39">
            <v>13</v>
          </cell>
          <cell r="L39">
            <v>4</v>
          </cell>
          <cell r="M39">
            <v>0</v>
          </cell>
          <cell r="N39">
            <v>0</v>
          </cell>
          <cell r="P39">
            <v>740</v>
          </cell>
          <cell r="Q39">
            <v>750</v>
          </cell>
          <cell r="R39">
            <v>58</v>
          </cell>
          <cell r="S39">
            <v>47</v>
          </cell>
          <cell r="T39">
            <v>37</v>
          </cell>
          <cell r="U39">
            <v>26</v>
          </cell>
          <cell r="V39">
            <v>16</v>
          </cell>
          <cell r="W39">
            <v>9</v>
          </cell>
          <cell r="X39">
            <v>2</v>
          </cell>
          <cell r="Y39">
            <v>0</v>
          </cell>
          <cell r="AA39">
            <v>2520</v>
          </cell>
          <cell r="AB39">
            <v>2560</v>
          </cell>
          <cell r="AC39">
            <v>278</v>
          </cell>
          <cell r="AD39">
            <v>232</v>
          </cell>
          <cell r="AE39">
            <v>187</v>
          </cell>
          <cell r="AF39">
            <v>141</v>
          </cell>
          <cell r="AG39">
            <v>95</v>
          </cell>
          <cell r="AH39">
            <v>50</v>
          </cell>
          <cell r="AI39">
            <v>12</v>
          </cell>
          <cell r="AJ39">
            <v>0</v>
          </cell>
          <cell r="AL39">
            <v>3240</v>
          </cell>
          <cell r="AM39">
            <v>3280</v>
          </cell>
          <cell r="AN39">
            <v>256</v>
          </cell>
          <cell r="AO39">
            <v>210</v>
          </cell>
          <cell r="AP39">
            <v>165</v>
          </cell>
          <cell r="AQ39">
            <v>119</v>
          </cell>
          <cell r="AR39">
            <v>73</v>
          </cell>
          <cell r="AS39">
            <v>43</v>
          </cell>
          <cell r="AT39">
            <v>12</v>
          </cell>
          <cell r="AU39">
            <v>0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ives (05)"/>
      <sheetName val="Gross Earnings"/>
      <sheetName val="Overtime"/>
      <sheetName val="Terms"/>
      <sheetName val="Salaried Overtime"/>
      <sheetName val="Incentive Rates"/>
      <sheetName val="Equivalent Earnings"/>
      <sheetName val="Time Sheets In Excel"/>
      <sheetName val="Deductions"/>
      <sheetName val="Gross and Net"/>
      <sheetName val="Social Security"/>
      <sheetName val="Ceilings"/>
      <sheetName val="FICA Calc."/>
      <sheetName val="Disability Deduction"/>
      <sheetName val="Income Tax Withholdings"/>
      <sheetName val="Wage Bracket Method"/>
      <sheetName val="Single Weekly"/>
      <sheetName val="Married Weekly"/>
      <sheetName val="Single bi-weekly"/>
      <sheetName val="Married bi-weekly"/>
      <sheetName val="Percentage Method Single"/>
      <sheetName val="Percentage Method Married"/>
      <sheetName val="State Withholding Tax"/>
      <sheetName val="Total Owed to the IRS"/>
      <sheetName val="Sheet5"/>
      <sheetName val="Sheet4"/>
      <sheetName val="Templates ==&gt;"/>
      <sheetName val="Gross Earn Templates"/>
      <sheetName val="Overtime Template"/>
      <sheetName val="EquivEarnTemplate"/>
      <sheetName val="Salaried Over Template"/>
      <sheetName val="FICA Calc.Templates"/>
      <sheetName val="Disability Ded. Template"/>
      <sheetName val="Wage Bracket Method Template"/>
      <sheetName val="Sheet1"/>
      <sheetName val="Answers==&gt;"/>
      <sheetName val="Gross Earnings (an)"/>
      <sheetName val="Overtime (an)"/>
      <sheetName val="Equivalent Earnings (an)"/>
      <sheetName val="Salaried Overtime (an)"/>
      <sheetName val="Incentive Rates (an)"/>
      <sheetName val="Gross and Net (an)"/>
      <sheetName val="Ceilings (an)"/>
      <sheetName val="FICA Calc. (an)"/>
      <sheetName val="Disability Deduction (an)"/>
      <sheetName val="Wage Bracket Method (an)"/>
      <sheetName val="Percentage Method Single (an)"/>
      <sheetName val="Percentage Method Married (an)"/>
      <sheetName val="State Withholding Tax (an)"/>
      <sheetName val="Total Owed to the IRS (an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F2" t="str">
            <v>Married</v>
          </cell>
        </row>
        <row r="3">
          <cell r="F3" t="str">
            <v>Single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A8285-60BA-49DB-8F1A-7A1FA849884B}">
  <sheetPr>
    <tabColor rgb="FFFFFF00"/>
  </sheetPr>
  <dimension ref="A1:AQ39"/>
  <sheetViews>
    <sheetView tabSelected="1" workbookViewId="0">
      <selection activeCell="U47" sqref="U47"/>
    </sheetView>
  </sheetViews>
  <sheetFormatPr defaultRowHeight="15" x14ac:dyDescent="0.25"/>
  <cols>
    <col min="1" max="1" width="7.7109375" customWidth="1"/>
    <col min="2" max="2" width="3" customWidth="1"/>
    <col min="3" max="3" width="17.28515625" customWidth="1"/>
    <col min="4" max="9" width="10.42578125" customWidth="1"/>
    <col min="10" max="10" width="12.140625" customWidth="1"/>
    <col min="11" max="16" width="10.42578125" customWidth="1"/>
    <col min="17" max="17" width="9.42578125" customWidth="1"/>
    <col min="18" max="18" width="3.28515625" customWidth="1"/>
    <col min="26" max="26" width="12.5703125" customWidth="1"/>
  </cols>
  <sheetData>
    <row r="1" spans="1:43" ht="54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8" customHeight="1" thickTop="1" x14ac:dyDescent="0.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32.25" x14ac:dyDescent="0.5">
      <c r="A3" s="1"/>
      <c r="B3" s="5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32.25" x14ac:dyDescent="0.5">
      <c r="A4" s="1"/>
      <c r="B4" s="5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7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6.5" customHeight="1" x14ac:dyDescent="0.4">
      <c r="A5" s="1"/>
      <c r="B5" s="9"/>
      <c r="C5" s="10"/>
      <c r="D5" s="10"/>
      <c r="E5" s="10"/>
      <c r="F5" s="11"/>
      <c r="G5" s="11"/>
      <c r="H5" s="11"/>
      <c r="I5" s="11"/>
      <c r="J5" s="12"/>
      <c r="K5" s="11"/>
      <c r="L5" s="12"/>
      <c r="M5" s="12"/>
      <c r="N5" s="13"/>
      <c r="O5" s="14"/>
      <c r="P5" s="14"/>
      <c r="Q5" s="14"/>
      <c r="R5" s="1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4.75" customHeight="1" x14ac:dyDescent="0.4">
      <c r="A6" s="1"/>
      <c r="B6" s="9"/>
      <c r="C6" s="156" t="s">
        <v>2</v>
      </c>
      <c r="D6" s="10"/>
      <c r="E6" s="10"/>
      <c r="F6" s="11"/>
      <c r="G6" s="11"/>
      <c r="H6" s="11"/>
      <c r="I6" s="11"/>
      <c r="J6" s="12"/>
      <c r="K6" s="11"/>
      <c r="L6" s="12"/>
      <c r="M6" s="12"/>
      <c r="N6" s="13"/>
      <c r="O6" s="14"/>
      <c r="P6" s="16"/>
      <c r="Q6" s="11"/>
      <c r="R6" s="17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4.75" customHeight="1" x14ac:dyDescent="0.4">
      <c r="A7" s="1"/>
      <c r="B7" s="9"/>
      <c r="C7" s="157" t="s">
        <v>238</v>
      </c>
      <c r="D7" s="10"/>
      <c r="E7" s="10"/>
      <c r="F7" s="11"/>
      <c r="G7" s="11"/>
      <c r="H7" s="11"/>
      <c r="I7" s="11"/>
      <c r="J7" s="12"/>
      <c r="K7" s="11"/>
      <c r="L7" s="12"/>
      <c r="M7" s="12"/>
      <c r="N7" s="13"/>
      <c r="O7" s="11"/>
      <c r="P7" s="11"/>
      <c r="Q7" s="11"/>
      <c r="R7" s="17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24.75" customHeight="1" x14ac:dyDescent="0.4">
      <c r="A8" s="1"/>
      <c r="B8" s="9"/>
      <c r="C8" s="157" t="s">
        <v>239</v>
      </c>
      <c r="D8" s="18"/>
      <c r="E8" s="10"/>
      <c r="F8" s="11"/>
      <c r="G8" s="11"/>
      <c r="H8" s="11"/>
      <c r="I8" s="11"/>
      <c r="J8" s="12"/>
      <c r="K8" s="11"/>
      <c r="L8" s="12"/>
      <c r="M8" s="12"/>
      <c r="N8" s="13"/>
      <c r="O8" s="11"/>
      <c r="P8" s="11"/>
      <c r="Q8" s="11"/>
      <c r="R8" s="1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24.75" customHeight="1" x14ac:dyDescent="0.4">
      <c r="A9" s="1"/>
      <c r="B9" s="9"/>
      <c r="C9" s="157" t="s">
        <v>240</v>
      </c>
      <c r="D9" s="10"/>
      <c r="E9" s="10"/>
      <c r="F9" s="11"/>
      <c r="G9" s="11"/>
      <c r="H9" s="11"/>
      <c r="I9" s="11"/>
      <c r="J9" s="12"/>
      <c r="K9" s="11"/>
      <c r="L9" s="12"/>
      <c r="M9" s="12"/>
      <c r="N9" s="13"/>
      <c r="O9" s="11"/>
      <c r="P9" s="11"/>
      <c r="Q9" s="11"/>
      <c r="R9" s="17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24.75" customHeight="1" x14ac:dyDescent="0.4">
      <c r="A10" s="1"/>
      <c r="B10" s="9"/>
      <c r="C10" s="157" t="s">
        <v>241</v>
      </c>
      <c r="D10" s="18"/>
      <c r="E10" s="10"/>
      <c r="F10" s="11"/>
      <c r="G10" s="11"/>
      <c r="H10" s="11"/>
      <c r="I10" s="11"/>
      <c r="J10" s="12"/>
      <c r="K10" s="11"/>
      <c r="L10" s="12"/>
      <c r="M10" s="12"/>
      <c r="N10" s="13"/>
      <c r="O10" s="11"/>
      <c r="P10" s="11"/>
      <c r="Q10" s="11"/>
      <c r="R10" s="17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24.75" customHeight="1" x14ac:dyDescent="0.4">
      <c r="A11" s="1"/>
      <c r="B11" s="9"/>
      <c r="C11" s="157" t="s">
        <v>242</v>
      </c>
      <c r="D11" s="18"/>
      <c r="E11" s="10"/>
      <c r="F11" s="11"/>
      <c r="G11" s="11"/>
      <c r="H11" s="11"/>
      <c r="I11" s="11"/>
      <c r="J11" s="12"/>
      <c r="K11" s="11"/>
      <c r="L11" s="12"/>
      <c r="M11" s="12"/>
      <c r="N11" s="13"/>
      <c r="O11" s="11"/>
      <c r="P11" s="11"/>
      <c r="Q11" s="11"/>
      <c r="R11" s="17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24.75" customHeight="1" x14ac:dyDescent="0.4">
      <c r="A12" s="1"/>
      <c r="B12" s="9"/>
      <c r="C12" s="157" t="s">
        <v>243</v>
      </c>
      <c r="D12" s="10"/>
      <c r="E12" s="10"/>
      <c r="F12" s="11"/>
      <c r="G12" s="11"/>
      <c r="H12" s="11"/>
      <c r="I12" s="11"/>
      <c r="J12" s="12"/>
      <c r="K12" s="11"/>
      <c r="L12" s="12"/>
      <c r="M12" s="12"/>
      <c r="N12" s="13"/>
      <c r="O12" s="11"/>
      <c r="P12" s="11"/>
      <c r="Q12" s="11"/>
      <c r="R12" s="17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24.75" customHeight="1" x14ac:dyDescent="0.4">
      <c r="A13" s="1"/>
      <c r="B13" s="9"/>
      <c r="C13" s="157" t="s">
        <v>244</v>
      </c>
      <c r="D13" s="10"/>
      <c r="E13" s="10"/>
      <c r="F13" s="11"/>
      <c r="G13" s="11"/>
      <c r="H13" s="11"/>
      <c r="I13" s="11"/>
      <c r="J13" s="12"/>
      <c r="K13" s="11"/>
      <c r="L13" s="12"/>
      <c r="M13" s="12"/>
      <c r="N13" s="13"/>
      <c r="O13" s="11"/>
      <c r="P13" s="11"/>
      <c r="Q13" s="11"/>
      <c r="R13" s="17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24.75" customHeight="1" x14ac:dyDescent="0.4">
      <c r="A14" s="1"/>
      <c r="B14" s="9"/>
      <c r="C14" s="157" t="s">
        <v>245</v>
      </c>
      <c r="D14" s="10"/>
      <c r="E14" s="10"/>
      <c r="F14" s="11"/>
      <c r="G14" s="11"/>
      <c r="H14" s="11"/>
      <c r="I14" s="11"/>
      <c r="J14" s="12"/>
      <c r="K14" s="11"/>
      <c r="L14" s="12"/>
      <c r="M14" s="12"/>
      <c r="N14" s="13"/>
      <c r="O14" s="11"/>
      <c r="P14" s="11"/>
      <c r="Q14" s="11"/>
      <c r="R14" s="17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24.75" customHeight="1" x14ac:dyDescent="0.4">
      <c r="A15" s="1"/>
      <c r="B15" s="9"/>
      <c r="C15" s="157" t="s">
        <v>429</v>
      </c>
      <c r="D15" s="10"/>
      <c r="E15" s="10"/>
      <c r="F15" s="11"/>
      <c r="G15" s="11"/>
      <c r="H15" s="11"/>
      <c r="I15" s="11"/>
      <c r="J15" s="12"/>
      <c r="K15" s="11"/>
      <c r="L15" s="12"/>
      <c r="M15" s="12"/>
      <c r="N15" s="13"/>
      <c r="O15" s="11"/>
      <c r="P15" s="11"/>
      <c r="Q15" s="11"/>
      <c r="R15" s="17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24.75" customHeight="1" x14ac:dyDescent="0.4">
      <c r="A16" s="1"/>
      <c r="B16" s="9"/>
      <c r="C16" s="157" t="s">
        <v>430</v>
      </c>
      <c r="D16" s="10"/>
      <c r="E16" s="10"/>
      <c r="F16" s="11"/>
      <c r="G16" s="11"/>
      <c r="H16" s="11"/>
      <c r="I16" s="11"/>
      <c r="J16" s="12"/>
      <c r="K16" s="11"/>
      <c r="L16" s="12"/>
      <c r="M16" s="12"/>
      <c r="N16" s="13"/>
      <c r="O16" s="11"/>
      <c r="P16" s="11"/>
      <c r="Q16" s="11"/>
      <c r="R16" s="17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24.75" customHeight="1" x14ac:dyDescent="0.4">
      <c r="A17" s="1"/>
      <c r="B17" s="9"/>
      <c r="C17" s="157" t="s">
        <v>428</v>
      </c>
      <c r="D17" s="10"/>
      <c r="E17" s="10"/>
      <c r="F17" s="11"/>
      <c r="G17" s="11"/>
      <c r="H17" s="11"/>
      <c r="I17" s="11"/>
      <c r="J17" s="12"/>
      <c r="K17" s="11"/>
      <c r="L17" s="12"/>
      <c r="M17" s="12"/>
      <c r="N17" s="13"/>
      <c r="O17" s="11"/>
      <c r="P17" s="11"/>
      <c r="Q17" s="11"/>
      <c r="R17" s="17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24.75" customHeight="1" x14ac:dyDescent="0.4">
      <c r="A18" s="1"/>
      <c r="B18" s="19"/>
      <c r="C18" s="157" t="s">
        <v>431</v>
      </c>
      <c r="D18" s="10"/>
      <c r="E18" s="10"/>
      <c r="F18" s="11"/>
      <c r="G18" s="11"/>
      <c r="H18" s="11"/>
      <c r="I18" s="11"/>
      <c r="J18" s="12"/>
      <c r="K18" s="11"/>
      <c r="L18" s="12"/>
      <c r="M18" s="12"/>
      <c r="N18" s="13"/>
      <c r="O18" s="11"/>
      <c r="P18" s="11"/>
      <c r="Q18" s="11"/>
      <c r="R18" s="17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24.75" customHeight="1" x14ac:dyDescent="0.4">
      <c r="A19" s="1"/>
      <c r="B19" s="19"/>
      <c r="C19" s="157" t="s">
        <v>432</v>
      </c>
      <c r="D19" s="10"/>
      <c r="E19" s="10"/>
      <c r="F19" s="11"/>
      <c r="G19" s="11"/>
      <c r="H19" s="11"/>
      <c r="I19" s="11"/>
      <c r="J19" s="12"/>
      <c r="K19" s="11"/>
      <c r="L19" s="12"/>
      <c r="M19" s="12"/>
      <c r="N19" s="13"/>
      <c r="O19" s="11"/>
      <c r="P19" s="11"/>
      <c r="Q19" s="11"/>
      <c r="R19" s="17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24.75" customHeight="1" x14ac:dyDescent="0.35">
      <c r="A20" s="1"/>
      <c r="B20" s="19"/>
      <c r="C20" s="157" t="s">
        <v>433</v>
      </c>
      <c r="D20" s="11"/>
      <c r="E20" s="11"/>
      <c r="F20" s="11"/>
      <c r="G20" s="11"/>
      <c r="H20" s="11"/>
      <c r="I20" s="11"/>
      <c r="J20" s="11"/>
      <c r="K20" s="11"/>
      <c r="L20" s="11"/>
      <c r="M20" s="14"/>
      <c r="N20" s="11"/>
      <c r="O20" s="11"/>
      <c r="P20" s="11"/>
      <c r="Q20" s="11"/>
      <c r="R20" s="17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5.75" thickBot="1" x14ac:dyDescent="0.3">
      <c r="A21" s="1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5.75" thickTop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23"/>
      <c r="AP24" s="23"/>
      <c r="AQ24" s="23"/>
    </row>
    <row r="25" spans="1:4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23"/>
      <c r="AP25" s="23"/>
      <c r="AQ25" s="23"/>
    </row>
    <row r="26" spans="1:4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23"/>
      <c r="AP26" s="23"/>
      <c r="AQ26" s="23"/>
    </row>
    <row r="27" spans="1:4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23"/>
      <c r="AP27" s="23"/>
      <c r="AQ27" s="23"/>
    </row>
    <row r="28" spans="1:4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23"/>
      <c r="AP28" s="23"/>
      <c r="AQ28" s="23"/>
    </row>
    <row r="29" spans="1:4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23"/>
      <c r="AP29" s="23"/>
      <c r="AQ29" s="23"/>
    </row>
    <row r="30" spans="1:4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23"/>
      <c r="AP30" s="23"/>
      <c r="AQ30" s="23"/>
    </row>
    <row r="31" spans="1:4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23"/>
      <c r="AP31" s="23"/>
      <c r="AQ31" s="23"/>
    </row>
    <row r="32" spans="1:4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23"/>
      <c r="AP32" s="23"/>
      <c r="AQ32" s="23"/>
    </row>
    <row r="33" spans="1:4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23"/>
      <c r="AP33" s="23"/>
      <c r="AQ33" s="23"/>
    </row>
    <row r="34" spans="1:4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23"/>
      <c r="AP34" s="23"/>
      <c r="AQ34" s="23"/>
    </row>
    <row r="35" spans="1:4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23"/>
      <c r="AP35" s="23"/>
      <c r="AQ35" s="23"/>
    </row>
    <row r="36" spans="1:4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23"/>
      <c r="AP36" s="23"/>
      <c r="AQ36" s="23"/>
    </row>
    <row r="37" spans="1:4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23"/>
      <c r="AP37" s="23"/>
      <c r="AQ37" s="23"/>
    </row>
    <row r="38" spans="1:4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23"/>
      <c r="AP38" s="23"/>
      <c r="AQ38" s="23"/>
    </row>
    <row r="39" spans="1:4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23"/>
      <c r="AP39" s="23"/>
      <c r="AQ39" s="23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5A313-1647-46F7-A9EF-0F5A3D121EC7}">
  <sheetPr>
    <tabColor rgb="FF0000FF"/>
  </sheetPr>
  <dimension ref="A1:G34"/>
  <sheetViews>
    <sheetView zoomScale="115" zoomScaleNormal="115" workbookViewId="0">
      <selection activeCell="B17" sqref="B17"/>
    </sheetView>
  </sheetViews>
  <sheetFormatPr defaultRowHeight="15" x14ac:dyDescent="0.25"/>
  <cols>
    <col min="1" max="1" width="4.85546875" customWidth="1"/>
    <col min="2" max="2" width="27.5703125" customWidth="1"/>
    <col min="3" max="3" width="14.140625" customWidth="1"/>
    <col min="4" max="4" width="9.7109375" customWidth="1"/>
    <col min="5" max="5" width="13.5703125" customWidth="1"/>
    <col min="6" max="6" width="17.28515625" customWidth="1"/>
    <col min="7" max="7" width="19.42578125" customWidth="1"/>
    <col min="8" max="8" width="55.85546875" customWidth="1"/>
    <col min="14" max="14" width="7.85546875" customWidth="1"/>
    <col min="16" max="16" width="18.28515625" bestFit="1" customWidth="1"/>
  </cols>
  <sheetData>
    <row r="1" spans="1:7" x14ac:dyDescent="0.25">
      <c r="A1" s="41" t="s">
        <v>173</v>
      </c>
      <c r="B1" s="48" t="s">
        <v>174</v>
      </c>
      <c r="C1" s="42"/>
      <c r="D1" s="42"/>
      <c r="E1" s="42"/>
      <c r="F1" s="42"/>
      <c r="G1" s="43"/>
    </row>
    <row r="2" spans="1:7" x14ac:dyDescent="0.25">
      <c r="B2" s="62" t="str">
        <f>"Employee made "&amp;C25&amp;" boomerangs."</f>
        <v>Employee made 137 boomerangs.</v>
      </c>
      <c r="C2" s="44"/>
      <c r="D2" s="44"/>
      <c r="E2" s="44"/>
      <c r="F2" s="44"/>
      <c r="G2" s="45"/>
    </row>
    <row r="3" spans="1:7" x14ac:dyDescent="0.25">
      <c r="B3" s="58" t="s">
        <v>127</v>
      </c>
      <c r="C3" s="44"/>
      <c r="D3" s="44"/>
      <c r="E3" s="44"/>
      <c r="F3" s="44"/>
      <c r="G3" s="45"/>
    </row>
    <row r="4" spans="1:7" x14ac:dyDescent="0.25">
      <c r="B4" s="61" t="s">
        <v>184</v>
      </c>
      <c r="C4" s="44"/>
      <c r="D4" s="44"/>
      <c r="E4" s="44"/>
      <c r="F4" s="44"/>
      <c r="G4" s="45"/>
    </row>
    <row r="5" spans="1:7" x14ac:dyDescent="0.25">
      <c r="B5" s="61" t="s">
        <v>185</v>
      </c>
      <c r="C5" s="44"/>
      <c r="D5" s="44"/>
      <c r="E5" s="44"/>
      <c r="F5" s="44"/>
      <c r="G5" s="45"/>
    </row>
    <row r="6" spans="1:7" x14ac:dyDescent="0.25">
      <c r="B6" s="61" t="s">
        <v>186</v>
      </c>
      <c r="C6" s="44"/>
      <c r="D6" s="44"/>
      <c r="E6" s="44"/>
      <c r="F6" s="44"/>
      <c r="G6" s="45"/>
    </row>
    <row r="7" spans="1:7" x14ac:dyDescent="0.25">
      <c r="B7" s="61" t="s">
        <v>187</v>
      </c>
      <c r="C7" s="44"/>
      <c r="D7" s="44"/>
      <c r="E7" s="44"/>
      <c r="F7" s="44"/>
      <c r="G7" s="45"/>
    </row>
    <row r="8" spans="1:7" x14ac:dyDescent="0.25">
      <c r="B8" s="61" t="s">
        <v>188</v>
      </c>
      <c r="C8" s="44"/>
      <c r="D8" s="44"/>
      <c r="E8" s="44"/>
      <c r="F8" s="44"/>
      <c r="G8" s="45"/>
    </row>
    <row r="9" spans="1:7" x14ac:dyDescent="0.25">
      <c r="B9" s="61" t="s">
        <v>189</v>
      </c>
      <c r="C9" s="44"/>
      <c r="D9" s="44"/>
      <c r="E9" s="44"/>
      <c r="F9" s="44"/>
      <c r="G9" s="45"/>
    </row>
    <row r="10" spans="1:7" x14ac:dyDescent="0.25">
      <c r="B10" s="61"/>
      <c r="C10" s="44"/>
      <c r="D10" s="44"/>
      <c r="E10" s="44"/>
      <c r="F10" s="44"/>
      <c r="G10" s="45"/>
    </row>
    <row r="11" spans="1:7" x14ac:dyDescent="0.25">
      <c r="B11" s="68" t="s">
        <v>175</v>
      </c>
      <c r="C11" s="46"/>
      <c r="D11" s="46"/>
      <c r="E11" s="46"/>
      <c r="F11" s="46"/>
      <c r="G11" s="47"/>
    </row>
    <row r="25" spans="1:6" x14ac:dyDescent="0.25">
      <c r="B25" s="64" t="s">
        <v>116</v>
      </c>
      <c r="C25" s="40">
        <v>137</v>
      </c>
    </row>
    <row r="26" spans="1:6" x14ac:dyDescent="0.25">
      <c r="B26" s="64" t="s">
        <v>110</v>
      </c>
      <c r="C26" s="67"/>
      <c r="E26" t="str">
        <f ca="1">IF(_xlfn.ISFORMULA(C26),_xlfn.FORMULATEXT(C26),"")</f>
        <v/>
      </c>
    </row>
    <row r="27" spans="1:6" x14ac:dyDescent="0.25">
      <c r="B27" s="64" t="s">
        <v>137</v>
      </c>
      <c r="C27" s="67"/>
      <c r="E27" t="str">
        <f ca="1">IF(_xlfn.ISFORMULA(C27),_xlfn.FORMULATEXT(C27),"")</f>
        <v/>
      </c>
    </row>
    <row r="29" spans="1:6" x14ac:dyDescent="0.25">
      <c r="A29" s="41" t="s">
        <v>177</v>
      </c>
      <c r="B29" s="90" t="s">
        <v>178</v>
      </c>
      <c r="C29" s="91"/>
      <c r="D29" s="92"/>
    </row>
    <row r="31" spans="1:6" x14ac:dyDescent="0.25">
      <c r="B31" s="64" t="s">
        <v>28</v>
      </c>
      <c r="C31" s="64" t="s">
        <v>114</v>
      </c>
      <c r="D31" s="64" t="s">
        <v>110</v>
      </c>
    </row>
    <row r="32" spans="1:6" x14ac:dyDescent="0.25">
      <c r="B32" s="40" t="s">
        <v>179</v>
      </c>
      <c r="C32" s="40">
        <v>116</v>
      </c>
      <c r="D32" s="67"/>
      <c r="F32" t="str">
        <f t="shared" ref="F32:F34" ca="1" si="0">IF(_xlfn.ISFORMULA(D32),_xlfn.FORMULATEXT(D32),"")</f>
        <v/>
      </c>
    </row>
    <row r="33" spans="2:6" x14ac:dyDescent="0.25">
      <c r="B33" s="40" t="s">
        <v>205</v>
      </c>
      <c r="C33" s="40">
        <v>72</v>
      </c>
      <c r="D33" s="67"/>
      <c r="F33" t="str">
        <f t="shared" ca="1" si="0"/>
        <v/>
      </c>
    </row>
    <row r="34" spans="2:6" x14ac:dyDescent="0.25">
      <c r="B34" s="40" t="s">
        <v>180</v>
      </c>
      <c r="C34" s="40">
        <v>152</v>
      </c>
      <c r="D34" s="67"/>
      <c r="F34" t="str">
        <f t="shared" ca="1" si="0"/>
        <v/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457A5-5104-4EA7-B2A1-A5C98BD8FE61}">
  <sheetPr>
    <tabColor rgb="FFFF0000"/>
  </sheetPr>
  <dimension ref="A1:O34"/>
  <sheetViews>
    <sheetView zoomScale="85" zoomScaleNormal="85" workbookViewId="0">
      <selection activeCell="B17" sqref="B17"/>
    </sheetView>
  </sheetViews>
  <sheetFormatPr defaultRowHeight="15" x14ac:dyDescent="0.25"/>
  <cols>
    <col min="1" max="1" width="4.85546875" customWidth="1"/>
    <col min="2" max="2" width="27.5703125" customWidth="1"/>
    <col min="3" max="3" width="14.140625" customWidth="1"/>
    <col min="4" max="4" width="9.7109375" customWidth="1"/>
    <col min="5" max="5" width="13.5703125" customWidth="1"/>
    <col min="6" max="6" width="17.28515625" customWidth="1"/>
    <col min="7" max="7" width="19.42578125" customWidth="1"/>
    <col min="8" max="8" width="55.85546875" customWidth="1"/>
    <col min="14" max="14" width="7.85546875" customWidth="1"/>
    <col min="16" max="16" width="18.28515625" bestFit="1" customWidth="1"/>
  </cols>
  <sheetData>
    <row r="1" spans="1:8" x14ac:dyDescent="0.25">
      <c r="A1" s="41" t="s">
        <v>173</v>
      </c>
      <c r="B1" s="48" t="s">
        <v>174</v>
      </c>
      <c r="C1" s="42"/>
      <c r="D1" s="42"/>
      <c r="E1" s="42"/>
      <c r="F1" s="42"/>
      <c r="G1" s="43"/>
    </row>
    <row r="2" spans="1:8" x14ac:dyDescent="0.25">
      <c r="B2" s="62" t="str">
        <f>"Employee made "&amp;C25&amp;" boomerangs."</f>
        <v>Employee made 137 boomerangs.</v>
      </c>
      <c r="C2" s="44"/>
      <c r="D2" s="44"/>
      <c r="E2" s="44"/>
      <c r="F2" s="44"/>
      <c r="G2" s="45"/>
    </row>
    <row r="3" spans="1:8" x14ac:dyDescent="0.25">
      <c r="B3" s="58" t="s">
        <v>127</v>
      </c>
      <c r="C3" s="44"/>
      <c r="D3" s="44"/>
      <c r="E3" s="44"/>
      <c r="F3" s="44"/>
      <c r="G3" s="45"/>
    </row>
    <row r="4" spans="1:8" x14ac:dyDescent="0.25">
      <c r="B4" s="61" t="str">
        <f t="shared" ref="B4:B9" si="0">DOLLAR(E18)&amp;" for "&amp;B18&amp;" Boomerangs"</f>
        <v>$1.00 for 0- 50 Boomerangs</v>
      </c>
      <c r="C4" s="44"/>
      <c r="D4" s="44"/>
      <c r="E4" s="44"/>
      <c r="F4" s="44"/>
      <c r="G4" s="45"/>
    </row>
    <row r="5" spans="1:8" x14ac:dyDescent="0.25">
      <c r="B5" s="61" t="str">
        <f t="shared" si="0"/>
        <v>$1.10 for 51- 75 Boomerangs</v>
      </c>
      <c r="C5" s="44"/>
      <c r="D5" s="44"/>
      <c r="E5" s="44"/>
      <c r="F5" s="44"/>
      <c r="G5" s="45"/>
    </row>
    <row r="6" spans="1:8" x14ac:dyDescent="0.25">
      <c r="B6" s="61" t="str">
        <f t="shared" si="0"/>
        <v>$1.25 for 76- 110 Boomerangs</v>
      </c>
      <c r="C6" s="44"/>
      <c r="D6" s="44"/>
      <c r="E6" s="44"/>
      <c r="F6" s="44"/>
      <c r="G6" s="45"/>
    </row>
    <row r="7" spans="1:8" x14ac:dyDescent="0.25">
      <c r="B7" s="61" t="str">
        <f t="shared" si="0"/>
        <v>$1.50 for 111- 130 Boomerangs</v>
      </c>
      <c r="C7" s="44"/>
      <c r="D7" s="44"/>
      <c r="E7" s="44"/>
      <c r="F7" s="44"/>
      <c r="G7" s="45"/>
    </row>
    <row r="8" spans="1:8" x14ac:dyDescent="0.25">
      <c r="B8" s="61" t="str">
        <f t="shared" si="0"/>
        <v>$1.75 for 131- 150 Boomerangs</v>
      </c>
      <c r="C8" s="44"/>
      <c r="D8" s="44"/>
      <c r="E8" s="44"/>
      <c r="F8" s="44"/>
      <c r="G8" s="45"/>
    </row>
    <row r="9" spans="1:8" x14ac:dyDescent="0.25">
      <c r="B9" s="61" t="str">
        <f t="shared" si="0"/>
        <v>$2.00 for 151- More Boomerangs</v>
      </c>
      <c r="C9" s="44"/>
      <c r="D9" s="44"/>
      <c r="E9" s="44"/>
      <c r="F9" s="44"/>
      <c r="G9" s="45"/>
    </row>
    <row r="10" spans="1:8" x14ac:dyDescent="0.25">
      <c r="B10" s="61"/>
      <c r="C10" s="44"/>
      <c r="D10" s="44"/>
      <c r="E10" s="44"/>
      <c r="F10" s="44"/>
      <c r="G10" s="45"/>
    </row>
    <row r="11" spans="1:8" x14ac:dyDescent="0.25">
      <c r="B11" s="68" t="s">
        <v>175</v>
      </c>
      <c r="C11" s="46"/>
      <c r="D11" s="46"/>
      <c r="E11" s="46"/>
      <c r="F11" s="46"/>
      <c r="G11" s="47"/>
    </row>
    <row r="13" spans="1:8" x14ac:dyDescent="0.25">
      <c r="B13" s="80" t="str">
        <f>"Formula in "&amp;ADDRESS(ROW(B18),COLUMN(B18),4)&amp;":"</f>
        <v>Formula in B18:</v>
      </c>
      <c r="C13" s="80" t="str">
        <f>"Formula in "&amp;ADDRESS(ROW(C19),COLUMN(C19),4)&amp;":"</f>
        <v>Formula in C19:</v>
      </c>
      <c r="F13" s="80" t="str">
        <f>"Formula in "&amp;ADDRESS(ROW(F19),COLUMN(F19),4)&amp;":"</f>
        <v>Formula in F19:</v>
      </c>
      <c r="G13" s="80" t="str">
        <f>"Formula in "&amp;ADDRESS(ROW(G19),COLUMN(G19),4)&amp;":"</f>
        <v>Formula in G19:</v>
      </c>
    </row>
    <row r="14" spans="1:8" ht="30" x14ac:dyDescent="0.25">
      <c r="B14" s="76" t="str">
        <f ca="1">IF(_xlfn.ISFORMULA(B18),_xlfn.FORMULATEXT(B18),"")</f>
        <v>=C18&amp;"- "&amp;D18</v>
      </c>
      <c r="C14" s="76" t="str">
        <f ca="1">IF(_xlfn.ISFORMULA(C19),_xlfn.FORMULATEXT(C19),"")</f>
        <v>=D18+1</v>
      </c>
      <c r="F14" s="76" t="str">
        <f ca="1">IF(_xlfn.ISFORMULA(F19),_xlfn.FORMULATEXT(F19),"")</f>
        <v>=D18</v>
      </c>
      <c r="G14" s="76" t="str">
        <f ca="1">IF(_xlfn.ISFORMULA(G19),_xlfn.FORMULATEXT(G19),"")</f>
        <v>=(F19-F18)*E18+G18</v>
      </c>
      <c r="H14" s="88" t="s">
        <v>176</v>
      </c>
    </row>
    <row r="16" spans="1:8" x14ac:dyDescent="0.25">
      <c r="B16" s="81" t="s">
        <v>149</v>
      </c>
      <c r="C16" s="79">
        <v>1</v>
      </c>
      <c r="D16" s="79">
        <v>2</v>
      </c>
      <c r="E16" s="79">
        <v>3</v>
      </c>
      <c r="F16" s="79">
        <v>4</v>
      </c>
      <c r="G16" s="79">
        <v>5</v>
      </c>
    </row>
    <row r="17" spans="1:15" ht="45" x14ac:dyDescent="0.25">
      <c r="B17" s="64" t="s">
        <v>102</v>
      </c>
      <c r="C17" s="64" t="s">
        <v>128</v>
      </c>
      <c r="D17" s="64" t="s">
        <v>129</v>
      </c>
      <c r="E17" s="64" t="s">
        <v>126</v>
      </c>
      <c r="F17" s="64" t="s">
        <v>130</v>
      </c>
      <c r="G17" s="64" t="s">
        <v>163</v>
      </c>
    </row>
    <row r="18" spans="1:15" x14ac:dyDescent="0.25">
      <c r="B18" s="60" t="str">
        <f>C18&amp;"- "&amp;D18</f>
        <v>0- 50</v>
      </c>
      <c r="C18" s="65">
        <v>0</v>
      </c>
      <c r="D18" s="40">
        <v>50</v>
      </c>
      <c r="E18" s="66">
        <v>1</v>
      </c>
      <c r="F18" s="40"/>
      <c r="G18" s="40"/>
    </row>
    <row r="19" spans="1:15" x14ac:dyDescent="0.25">
      <c r="B19" s="60" t="str">
        <f t="shared" ref="B19:B23" si="1">C19&amp;"- "&amp;D19</f>
        <v>51- 75</v>
      </c>
      <c r="C19" s="60">
        <f>D18+1</f>
        <v>51</v>
      </c>
      <c r="D19" s="40">
        <v>75</v>
      </c>
      <c r="E19" s="66">
        <v>1.1000000000000001</v>
      </c>
      <c r="F19" s="60">
        <f>D18</f>
        <v>50</v>
      </c>
      <c r="G19" s="67">
        <f>(F19-F18)*E18+G18</f>
        <v>50</v>
      </c>
    </row>
    <row r="20" spans="1:15" x14ac:dyDescent="0.25">
      <c r="B20" s="60" t="str">
        <f t="shared" si="1"/>
        <v>76- 110</v>
      </c>
      <c r="C20" s="60">
        <f t="shared" ref="C20:C23" si="2">D19+1</f>
        <v>76</v>
      </c>
      <c r="D20" s="40">
        <v>110</v>
      </c>
      <c r="E20" s="66">
        <v>1.25</v>
      </c>
      <c r="F20" s="60">
        <f>D19</f>
        <v>75</v>
      </c>
      <c r="G20" s="67">
        <f>(F20-F19)*E19+G19</f>
        <v>77.5</v>
      </c>
      <c r="H20" s="89"/>
    </row>
    <row r="21" spans="1:15" x14ac:dyDescent="0.25">
      <c r="B21" s="60" t="str">
        <f>C21&amp;"- "&amp;D21</f>
        <v>111- 130</v>
      </c>
      <c r="C21" s="60">
        <f t="shared" si="2"/>
        <v>111</v>
      </c>
      <c r="D21" s="40">
        <v>130</v>
      </c>
      <c r="E21" s="66">
        <v>1.5</v>
      </c>
      <c r="F21" s="60">
        <f t="shared" ref="F21:F22" si="3">D20</f>
        <v>110</v>
      </c>
      <c r="G21" s="67">
        <f t="shared" ref="G21:G23" si="4">(F21-F20)*E20+G20</f>
        <v>121.25</v>
      </c>
    </row>
    <row r="22" spans="1:15" x14ac:dyDescent="0.25">
      <c r="B22" s="60" t="str">
        <f t="shared" si="1"/>
        <v>131- 150</v>
      </c>
      <c r="C22" s="60">
        <f t="shared" si="2"/>
        <v>131</v>
      </c>
      <c r="D22" s="40">
        <v>150</v>
      </c>
      <c r="E22" s="66">
        <v>1.75</v>
      </c>
      <c r="F22" s="60">
        <f t="shared" si="3"/>
        <v>130</v>
      </c>
      <c r="G22" s="67">
        <f t="shared" si="4"/>
        <v>151.25</v>
      </c>
    </row>
    <row r="23" spans="1:15" x14ac:dyDescent="0.25">
      <c r="B23" s="60" t="str">
        <f t="shared" si="1"/>
        <v>151- More</v>
      </c>
      <c r="C23" s="60">
        <f t="shared" si="2"/>
        <v>151</v>
      </c>
      <c r="D23" s="40" t="s">
        <v>136</v>
      </c>
      <c r="E23" s="66">
        <v>2</v>
      </c>
      <c r="F23" s="60">
        <f>D22</f>
        <v>150</v>
      </c>
      <c r="G23" s="67">
        <f t="shared" si="4"/>
        <v>186.25</v>
      </c>
    </row>
    <row r="25" spans="1:15" x14ac:dyDescent="0.25">
      <c r="B25" s="64" t="s">
        <v>116</v>
      </c>
      <c r="C25" s="40">
        <v>137</v>
      </c>
      <c r="N25" t="s">
        <v>137</v>
      </c>
      <c r="O25">
        <f>VLOOKUP(C25,$C$18:$G$23,5)+(C25-VLOOKUP(C25,$C$18:$G$23,4))*VLOOKUP(C25,$C$18:$G$23,3)</f>
        <v>163.5</v>
      </c>
    </row>
    <row r="26" spans="1:15" x14ac:dyDescent="0.25">
      <c r="B26" s="64" t="s">
        <v>110</v>
      </c>
      <c r="C26" s="67">
        <f>G22+(C25-F22)*E22</f>
        <v>163.5</v>
      </c>
      <c r="E26" t="str">
        <f ca="1">IF(_xlfn.ISFORMULA(C26),_xlfn.FORMULATEXT(C26),"")</f>
        <v>=G22+(C25-F22)*E22</v>
      </c>
    </row>
    <row r="27" spans="1:15" x14ac:dyDescent="0.25">
      <c r="B27" s="64" t="s">
        <v>137</v>
      </c>
      <c r="C27" s="67">
        <f>D18*E18+(D19-D18)*E19+(D20-D19)*E20+(D21-D20)*E21+(C25-D21)*E22</f>
        <v>163.5</v>
      </c>
      <c r="E27" t="str">
        <f ca="1">IF(_xlfn.ISFORMULA(C27),_xlfn.FORMULATEXT(C27),"")</f>
        <v>=D18*E18+(D19-D18)*E19+(D20-D19)*E20+(D21-D20)*E21+(C25-D21)*E22</v>
      </c>
    </row>
    <row r="29" spans="1:15" x14ac:dyDescent="0.25">
      <c r="A29" s="41" t="s">
        <v>177</v>
      </c>
      <c r="B29" s="90" t="s">
        <v>178</v>
      </c>
      <c r="C29" s="91"/>
      <c r="D29" s="92"/>
    </row>
    <row r="31" spans="1:15" x14ac:dyDescent="0.25">
      <c r="B31" s="64" t="s">
        <v>28</v>
      </c>
      <c r="C31" s="64" t="s">
        <v>114</v>
      </c>
      <c r="D31" s="64" t="s">
        <v>110</v>
      </c>
    </row>
    <row r="32" spans="1:15" x14ac:dyDescent="0.25">
      <c r="B32" s="40" t="s">
        <v>179</v>
      </c>
      <c r="C32" s="40">
        <v>116</v>
      </c>
      <c r="D32" s="67">
        <f>G21+(C32-F21)*E21</f>
        <v>130.25</v>
      </c>
      <c r="F32" t="str">
        <f t="shared" ref="F32:F34" ca="1" si="5">IF(_xlfn.ISFORMULA(D32),_xlfn.FORMULATEXT(D32),"")</f>
        <v>=G21+(C32-F21)*E21</v>
      </c>
      <c r="N32" t="s">
        <v>137</v>
      </c>
      <c r="O32">
        <f>VLOOKUP(C32,$C$18:$G$23,5)+(C32-VLOOKUP(C32,$C$18:$G$23,4))*VLOOKUP(C32,$C$18:$G$23,3)</f>
        <v>130.25</v>
      </c>
    </row>
    <row r="33" spans="2:15" x14ac:dyDescent="0.25">
      <c r="B33" s="40" t="s">
        <v>205</v>
      </c>
      <c r="C33" s="40">
        <v>72</v>
      </c>
      <c r="D33" s="67">
        <f>G19+(C33-F19)*E19</f>
        <v>74.2</v>
      </c>
      <c r="F33" t="str">
        <f t="shared" ca="1" si="5"/>
        <v>=G19+(C33-F19)*E19</v>
      </c>
      <c r="N33" t="s">
        <v>137</v>
      </c>
      <c r="O33">
        <f t="shared" ref="O33:O34" si="6">VLOOKUP(C33,$C$18:$G$23,5)+(C33-VLOOKUP(C33,$C$18:$G$23,4))*VLOOKUP(C33,$C$18:$G$23,3)</f>
        <v>74.2</v>
      </c>
    </row>
    <row r="34" spans="2:15" x14ac:dyDescent="0.25">
      <c r="B34" s="40" t="s">
        <v>180</v>
      </c>
      <c r="C34" s="40">
        <v>152</v>
      </c>
      <c r="D34" s="67">
        <f>G23+(C34-F23)*E23</f>
        <v>190.25</v>
      </c>
      <c r="F34" t="str">
        <f t="shared" ca="1" si="5"/>
        <v>=G23+(C34-F23)*E23</v>
      </c>
      <c r="N34" t="s">
        <v>137</v>
      </c>
      <c r="O34">
        <f t="shared" si="6"/>
        <v>190.25</v>
      </c>
    </row>
  </sheetData>
  <printOptions headings="1"/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96DE2-E77B-4BAE-A49E-588DA6A7200F}">
  <sheetPr>
    <tabColor rgb="FF0000FF"/>
  </sheetPr>
  <dimension ref="A1:L23"/>
  <sheetViews>
    <sheetView zoomScale="130" zoomScaleNormal="130" workbookViewId="0">
      <selection activeCell="B4" sqref="B4"/>
    </sheetView>
  </sheetViews>
  <sheetFormatPr defaultRowHeight="15" x14ac:dyDescent="0.25"/>
  <cols>
    <col min="1" max="1" width="6.7109375" customWidth="1"/>
    <col min="2" max="2" width="23.85546875" customWidth="1"/>
    <col min="3" max="7" width="17.42578125" customWidth="1"/>
    <col min="8" max="8" width="20.42578125" customWidth="1"/>
    <col min="9" max="9" width="11.28515625" customWidth="1"/>
  </cols>
  <sheetData>
    <row r="1" spans="1:12" x14ac:dyDescent="0.25">
      <c r="A1" s="41" t="s">
        <v>191</v>
      </c>
      <c r="B1" s="98" t="s">
        <v>249</v>
      </c>
      <c r="C1" s="91"/>
      <c r="D1" s="91"/>
      <c r="E1" s="91"/>
      <c r="F1" s="91"/>
      <c r="G1" s="91"/>
      <c r="H1" s="92"/>
    </row>
    <row r="2" spans="1:12" x14ac:dyDescent="0.25">
      <c r="L2" s="97"/>
    </row>
    <row r="3" spans="1:12" x14ac:dyDescent="0.25">
      <c r="L3" s="97"/>
    </row>
    <row r="4" spans="1:12" x14ac:dyDescent="0.25">
      <c r="L4" s="97"/>
    </row>
    <row r="5" spans="1:12" x14ac:dyDescent="0.25">
      <c r="L5" s="97"/>
    </row>
    <row r="6" spans="1:12" x14ac:dyDescent="0.25">
      <c r="L6" s="97"/>
    </row>
    <row r="8" spans="1:12" x14ac:dyDescent="0.25">
      <c r="L8" s="97"/>
    </row>
    <row r="9" spans="1:12" x14ac:dyDescent="0.25">
      <c r="L9" s="97"/>
    </row>
    <row r="10" spans="1:12" x14ac:dyDescent="0.25">
      <c r="L10" s="97"/>
    </row>
    <row r="11" spans="1:12" x14ac:dyDescent="0.25">
      <c r="L11" s="97"/>
    </row>
    <row r="12" spans="1:12" x14ac:dyDescent="0.25">
      <c r="B12" s="64" t="s">
        <v>116</v>
      </c>
      <c r="C12" s="40">
        <v>137</v>
      </c>
      <c r="L12" s="97"/>
    </row>
    <row r="13" spans="1:12" ht="30" x14ac:dyDescent="0.25">
      <c r="B13" s="64" t="s">
        <v>163</v>
      </c>
      <c r="C13" s="67"/>
      <c r="E13" t="str">
        <f ca="1">IF(_xlfn.ISFORMULA(C13),_xlfn.FORMULATEXT(C13),"")</f>
        <v/>
      </c>
      <c r="L13" s="97"/>
    </row>
    <row r="14" spans="1:12" ht="30" x14ac:dyDescent="0.25">
      <c r="B14" s="64" t="s">
        <v>130</v>
      </c>
      <c r="C14" s="54"/>
      <c r="E14" t="str">
        <f ca="1">IF(_xlfn.ISFORMULA(C14),_xlfn.FORMULATEXT(C14),"")</f>
        <v/>
      </c>
      <c r="L14" s="97"/>
    </row>
    <row r="15" spans="1:12" x14ac:dyDescent="0.25">
      <c r="B15" s="64" t="s">
        <v>126</v>
      </c>
      <c r="C15" s="67"/>
      <c r="E15" t="str">
        <f ca="1">IF(_xlfn.ISFORMULA(C15),_xlfn.FORMULATEXT(C15),"")</f>
        <v/>
      </c>
      <c r="L15" s="97"/>
    </row>
    <row r="16" spans="1:12" x14ac:dyDescent="0.25">
      <c r="B16" s="64" t="s">
        <v>110</v>
      </c>
      <c r="C16" s="67"/>
      <c r="E16" t="str">
        <f ca="1">IF(_xlfn.ISFORMULA(C16),_xlfn.FORMULATEXT(C16),"")</f>
        <v/>
      </c>
    </row>
    <row r="18" spans="2:2" x14ac:dyDescent="0.25">
      <c r="B18" s="78" t="s">
        <v>199</v>
      </c>
    </row>
    <row r="19" spans="2:2" x14ac:dyDescent="0.25">
      <c r="B19" t="s">
        <v>200</v>
      </c>
    </row>
    <row r="20" spans="2:2" x14ac:dyDescent="0.25">
      <c r="B20" t="s">
        <v>203</v>
      </c>
    </row>
    <row r="21" spans="2:2" x14ac:dyDescent="0.25">
      <c r="B21" t="s">
        <v>201</v>
      </c>
    </row>
    <row r="22" spans="2:2" x14ac:dyDescent="0.25">
      <c r="B22" t="s">
        <v>202</v>
      </c>
    </row>
    <row r="23" spans="2:2" x14ac:dyDescent="0.25">
      <c r="B23" t="s">
        <v>204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27E05-982F-4E7B-8B9F-4EA1450DAC66}">
  <sheetPr>
    <tabColor rgb="FFFF0000"/>
  </sheetPr>
  <dimension ref="A1:L23"/>
  <sheetViews>
    <sheetView zoomScale="130" zoomScaleNormal="130" workbookViewId="0">
      <selection activeCell="B6" sqref="B6"/>
    </sheetView>
  </sheetViews>
  <sheetFormatPr defaultRowHeight="15" x14ac:dyDescent="0.25"/>
  <cols>
    <col min="1" max="1" width="6.7109375" customWidth="1"/>
    <col min="2" max="2" width="23.85546875" customWidth="1"/>
    <col min="3" max="7" width="17.42578125" customWidth="1"/>
    <col min="8" max="8" width="20.42578125" customWidth="1"/>
    <col min="9" max="9" width="11.28515625" customWidth="1"/>
  </cols>
  <sheetData>
    <row r="1" spans="1:12" x14ac:dyDescent="0.25">
      <c r="A1" s="41" t="s">
        <v>191</v>
      </c>
      <c r="B1" s="98" t="s">
        <v>249</v>
      </c>
      <c r="C1" s="91"/>
      <c r="D1" s="91"/>
      <c r="E1" s="91"/>
      <c r="F1" s="91"/>
      <c r="G1" s="91"/>
      <c r="H1" s="92"/>
    </row>
    <row r="2" spans="1:12" x14ac:dyDescent="0.25">
      <c r="L2" s="97"/>
    </row>
    <row r="3" spans="1:12" x14ac:dyDescent="0.25">
      <c r="B3" s="81" t="s">
        <v>149</v>
      </c>
      <c r="C3" s="79">
        <v>1</v>
      </c>
      <c r="D3" s="79">
        <v>2</v>
      </c>
      <c r="E3" s="79">
        <v>3</v>
      </c>
      <c r="F3" s="79">
        <v>4</v>
      </c>
      <c r="G3" s="79">
        <v>5</v>
      </c>
      <c r="L3" s="97"/>
    </row>
    <row r="4" spans="1:12" ht="45" x14ac:dyDescent="0.25">
      <c r="B4" s="64" t="s">
        <v>102</v>
      </c>
      <c r="C4" s="64" t="s">
        <v>128</v>
      </c>
      <c r="D4" s="64" t="s">
        <v>129</v>
      </c>
      <c r="E4" s="64" t="s">
        <v>126</v>
      </c>
      <c r="F4" s="64" t="s">
        <v>130</v>
      </c>
      <c r="G4" s="64" t="s">
        <v>163</v>
      </c>
      <c r="L4" s="97"/>
    </row>
    <row r="5" spans="1:12" x14ac:dyDescent="0.25">
      <c r="B5" s="60" t="str">
        <f>C5&amp;"- "&amp;D5</f>
        <v>0- 50</v>
      </c>
      <c r="C5" s="65">
        <v>0</v>
      </c>
      <c r="D5" s="40">
        <v>50</v>
      </c>
      <c r="E5" s="66">
        <v>1</v>
      </c>
      <c r="F5" s="40"/>
      <c r="G5" s="40"/>
      <c r="L5" s="97"/>
    </row>
    <row r="6" spans="1:12" x14ac:dyDescent="0.25">
      <c r="B6" s="60" t="str">
        <f t="shared" ref="B6:B10" si="0">C6&amp;"- "&amp;D6</f>
        <v>51- 75</v>
      </c>
      <c r="C6" s="60">
        <f>D5+1</f>
        <v>51</v>
      </c>
      <c r="D6" s="40">
        <v>75</v>
      </c>
      <c r="E6" s="66">
        <v>1.1000000000000001</v>
      </c>
      <c r="F6" s="60">
        <f>D5</f>
        <v>50</v>
      </c>
      <c r="G6" s="67">
        <f>(F6-F5)*E5+G5</f>
        <v>50</v>
      </c>
      <c r="L6" s="97"/>
    </row>
    <row r="7" spans="1:12" x14ac:dyDescent="0.25">
      <c r="B7" s="60" t="str">
        <f t="shared" si="0"/>
        <v>76- 110</v>
      </c>
      <c r="C7" s="60">
        <f t="shared" ref="C7:C10" si="1">D6+1</f>
        <v>76</v>
      </c>
      <c r="D7" s="40">
        <v>110</v>
      </c>
      <c r="E7" s="66">
        <v>1.25</v>
      </c>
      <c r="F7" s="60">
        <f>D6</f>
        <v>75</v>
      </c>
      <c r="G7" s="67">
        <f>(F7-F6)*E6+G6</f>
        <v>77.5</v>
      </c>
      <c r="H7" s="89"/>
    </row>
    <row r="8" spans="1:12" x14ac:dyDescent="0.25">
      <c r="B8" s="60" t="str">
        <f>C8&amp;"- "&amp;D8</f>
        <v>111- 130</v>
      </c>
      <c r="C8" s="60">
        <f t="shared" si="1"/>
        <v>111</v>
      </c>
      <c r="D8" s="40">
        <v>130</v>
      </c>
      <c r="E8" s="66">
        <v>1.5</v>
      </c>
      <c r="F8" s="60">
        <f t="shared" ref="F8:F9" si="2">D7</f>
        <v>110</v>
      </c>
      <c r="G8" s="67">
        <f t="shared" ref="G8:G10" si="3">(F8-F7)*E7+G7</f>
        <v>121.25</v>
      </c>
      <c r="L8" s="97"/>
    </row>
    <row r="9" spans="1:12" x14ac:dyDescent="0.25">
      <c r="B9" s="60" t="str">
        <f t="shared" si="0"/>
        <v>131- 150</v>
      </c>
      <c r="C9" s="60">
        <f t="shared" si="1"/>
        <v>131</v>
      </c>
      <c r="D9" s="40">
        <v>150</v>
      </c>
      <c r="E9" s="66">
        <v>1.75</v>
      </c>
      <c r="F9" s="60">
        <f t="shared" si="2"/>
        <v>130</v>
      </c>
      <c r="G9" s="67">
        <f t="shared" si="3"/>
        <v>151.25</v>
      </c>
      <c r="L9" s="97"/>
    </row>
    <row r="10" spans="1:12" x14ac:dyDescent="0.25">
      <c r="B10" s="60" t="str">
        <f t="shared" si="0"/>
        <v>151- More</v>
      </c>
      <c r="C10" s="60">
        <f t="shared" si="1"/>
        <v>151</v>
      </c>
      <c r="D10" s="40" t="s">
        <v>136</v>
      </c>
      <c r="E10" s="66">
        <v>2</v>
      </c>
      <c r="F10" s="60">
        <f>D9</f>
        <v>150</v>
      </c>
      <c r="G10" s="67">
        <f t="shared" si="3"/>
        <v>186.25</v>
      </c>
      <c r="L10" s="97"/>
    </row>
    <row r="11" spans="1:12" x14ac:dyDescent="0.25">
      <c r="L11" s="97"/>
    </row>
    <row r="12" spans="1:12" x14ac:dyDescent="0.25">
      <c r="B12" s="64" t="s">
        <v>116</v>
      </c>
      <c r="C12" s="40">
        <v>137</v>
      </c>
      <c r="L12" s="97"/>
    </row>
    <row r="13" spans="1:12" ht="30" x14ac:dyDescent="0.25">
      <c r="B13" s="64" t="s">
        <v>163</v>
      </c>
      <c r="C13" s="67">
        <f>VLOOKUP(C12,C5:G10,5)</f>
        <v>151.25</v>
      </c>
      <c r="E13" t="str">
        <f ca="1">IF(_xlfn.ISFORMULA(C13),_xlfn.FORMULATEXT(C13),"")</f>
        <v>=VLOOKUP(C12,C5:G10,5)</v>
      </c>
      <c r="L13" s="97"/>
    </row>
    <row r="14" spans="1:12" ht="30" x14ac:dyDescent="0.25">
      <c r="B14" s="64" t="s">
        <v>130</v>
      </c>
      <c r="C14" s="54">
        <f>VLOOKUP(C12,C5:G10,4)</f>
        <v>130</v>
      </c>
      <c r="E14" t="str">
        <f ca="1">IF(_xlfn.ISFORMULA(C14),_xlfn.FORMULATEXT(C14),"")</f>
        <v>=VLOOKUP(C12,C5:G10,4)</v>
      </c>
      <c r="L14" s="97"/>
    </row>
    <row r="15" spans="1:12" x14ac:dyDescent="0.25">
      <c r="B15" s="64" t="s">
        <v>126</v>
      </c>
      <c r="C15" s="67">
        <f>VLOOKUP(C12,C5:G10,3)</f>
        <v>1.75</v>
      </c>
      <c r="E15" t="str">
        <f ca="1">IF(_xlfn.ISFORMULA(C15),_xlfn.FORMULATEXT(C15),"")</f>
        <v>=VLOOKUP(C12,C5:G10,3)</v>
      </c>
      <c r="L15" s="97"/>
    </row>
    <row r="16" spans="1:12" x14ac:dyDescent="0.25">
      <c r="B16" s="64" t="s">
        <v>110</v>
      </c>
      <c r="C16" s="67">
        <f>C13+(C12-C14)*C15</f>
        <v>163.5</v>
      </c>
      <c r="E16" t="str">
        <f ca="1">IF(_xlfn.ISFORMULA(C16),_xlfn.FORMULATEXT(C16),"")</f>
        <v>=C13+(C12-C14)*C15</v>
      </c>
    </row>
    <row r="18" spans="2:2" x14ac:dyDescent="0.25">
      <c r="B18" s="78" t="s">
        <v>199</v>
      </c>
    </row>
    <row r="19" spans="2:2" x14ac:dyDescent="0.25">
      <c r="B19" t="s">
        <v>200</v>
      </c>
    </row>
    <row r="20" spans="2:2" x14ac:dyDescent="0.25">
      <c r="B20" t="s">
        <v>203</v>
      </c>
    </row>
    <row r="21" spans="2:2" x14ac:dyDescent="0.25">
      <c r="B21" t="s">
        <v>201</v>
      </c>
    </row>
    <row r="22" spans="2:2" x14ac:dyDescent="0.25">
      <c r="B22" t="s">
        <v>202</v>
      </c>
    </row>
    <row r="23" spans="2:2" x14ac:dyDescent="0.25">
      <c r="B23" t="s">
        <v>204</v>
      </c>
    </row>
  </sheetData>
  <conditionalFormatting sqref="B5:G10">
    <cfRule type="expression" dxfId="3" priority="1">
      <formula>VLOOKUP($C$12,$C$5:$C$10,1)=$C5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A9C82-8FC7-4951-846B-7D154E189AE5}">
  <sheetPr>
    <tabColor rgb="FF0000FF"/>
  </sheetPr>
  <dimension ref="A1:H15"/>
  <sheetViews>
    <sheetView zoomScale="130" zoomScaleNormal="130" workbookViewId="0">
      <selection activeCell="D8" sqref="D8"/>
    </sheetView>
  </sheetViews>
  <sheetFormatPr defaultRowHeight="15" x14ac:dyDescent="0.25"/>
  <cols>
    <col min="1" max="1" width="5.7109375" customWidth="1"/>
    <col min="2" max="2" width="23.85546875" customWidth="1"/>
    <col min="3" max="3" width="17.42578125" customWidth="1"/>
    <col min="4" max="6" width="28.42578125" bestFit="1" customWidth="1"/>
    <col min="7" max="7" width="16.5703125" bestFit="1" customWidth="1"/>
    <col min="8" max="8" width="3.5703125" customWidth="1"/>
    <col min="9" max="9" width="20.42578125" customWidth="1"/>
    <col min="10" max="10" width="18.7109375" bestFit="1" customWidth="1"/>
  </cols>
  <sheetData>
    <row r="1" spans="1:8" x14ac:dyDescent="0.25">
      <c r="A1" s="41" t="s">
        <v>192</v>
      </c>
      <c r="B1" s="48" t="s">
        <v>209</v>
      </c>
      <c r="C1" s="42"/>
      <c r="D1" s="42"/>
      <c r="E1" s="42"/>
      <c r="F1" s="42"/>
      <c r="G1" s="42"/>
      <c r="H1" s="43"/>
    </row>
    <row r="2" spans="1:8" x14ac:dyDescent="0.25">
      <c r="A2" s="41"/>
      <c r="B2" s="49" t="s">
        <v>250</v>
      </c>
      <c r="C2" s="46"/>
      <c r="D2" s="46"/>
      <c r="E2" s="46"/>
      <c r="F2" s="46"/>
      <c r="G2" s="46"/>
      <c r="H2" s="47"/>
    </row>
    <row r="4" spans="1:8" x14ac:dyDescent="0.25">
      <c r="D4" s="80" t="str">
        <f>"Formula is "&amp;ADDRESS(ROW(D8),COLUMN(D8),4)&amp;":"</f>
        <v>Formula is D8:</v>
      </c>
      <c r="E4" s="80" t="str">
        <f>"Formula is "&amp;ADDRESS(ROW(E8),COLUMN(E8),4)&amp;":"</f>
        <v>Formula is E8:</v>
      </c>
      <c r="F4" s="80" t="str">
        <f>"Formula is "&amp;ADDRESS(ROW(F8),COLUMN(F8),4)&amp;":"</f>
        <v>Formula is F8:</v>
      </c>
      <c r="G4" s="80" t="str">
        <f>"Formula is "&amp;ADDRESS(ROW(G8),COLUMN(G8),4)&amp;":"</f>
        <v>Formula is G8:</v>
      </c>
    </row>
    <row r="5" spans="1:8" x14ac:dyDescent="0.25">
      <c r="D5" t="str">
        <f ca="1">IF(_xlfn.ISFORMULA(D8),_xlfn.FORMULATEXT(D8),"")</f>
        <v/>
      </c>
      <c r="E5" t="str">
        <f ca="1">IF(_xlfn.ISFORMULA(E8),_xlfn.FORMULATEXT(E8),"")</f>
        <v/>
      </c>
      <c r="F5" t="str">
        <f ca="1">IF(_xlfn.ISFORMULA(F8),_xlfn.FORMULATEXT(F8),"")</f>
        <v/>
      </c>
      <c r="G5" t="str">
        <f ca="1">IF(_xlfn.ISFORMULA(G8),_xlfn.FORMULATEXT(G8),"")</f>
        <v/>
      </c>
    </row>
    <row r="7" spans="1:8" ht="30" x14ac:dyDescent="0.25">
      <c r="B7" s="64" t="s">
        <v>28</v>
      </c>
      <c r="C7" s="64" t="s">
        <v>114</v>
      </c>
      <c r="D7" s="64" t="s">
        <v>163</v>
      </c>
      <c r="E7" s="64" t="s">
        <v>130</v>
      </c>
      <c r="F7" s="64" t="s">
        <v>126</v>
      </c>
      <c r="G7" s="64" t="s">
        <v>110</v>
      </c>
    </row>
    <row r="8" spans="1:8" x14ac:dyDescent="0.25">
      <c r="B8" s="40" t="s">
        <v>179</v>
      </c>
      <c r="C8" s="40">
        <v>116</v>
      </c>
      <c r="D8" s="60"/>
      <c r="E8" s="60"/>
      <c r="F8" s="60"/>
      <c r="G8" s="67"/>
    </row>
    <row r="9" spans="1:8" x14ac:dyDescent="0.25">
      <c r="B9" s="40" t="s">
        <v>205</v>
      </c>
      <c r="C9" s="40">
        <v>72</v>
      </c>
      <c r="D9" s="60"/>
      <c r="E9" s="60"/>
      <c r="F9" s="60"/>
      <c r="G9" s="67"/>
    </row>
    <row r="10" spans="1:8" x14ac:dyDescent="0.25">
      <c r="B10" s="40" t="s">
        <v>180</v>
      </c>
      <c r="C10" s="40">
        <v>152</v>
      </c>
      <c r="D10" s="60"/>
      <c r="E10" s="60"/>
      <c r="F10" s="60"/>
      <c r="G10" s="67"/>
    </row>
    <row r="11" spans="1:8" x14ac:dyDescent="0.25">
      <c r="B11" s="76" t="s">
        <v>193</v>
      </c>
      <c r="C11" s="40">
        <v>45</v>
      </c>
      <c r="D11" s="60"/>
      <c r="E11" s="60"/>
      <c r="F11" s="60"/>
      <c r="G11" s="67"/>
    </row>
    <row r="12" spans="1:8" x14ac:dyDescent="0.25">
      <c r="B12" s="76" t="s">
        <v>194</v>
      </c>
      <c r="C12" s="40">
        <v>140</v>
      </c>
      <c r="D12" s="60"/>
      <c r="E12" s="60"/>
      <c r="F12" s="60"/>
      <c r="G12" s="67"/>
    </row>
    <row r="13" spans="1:8" x14ac:dyDescent="0.25">
      <c r="B13" s="76" t="s">
        <v>195</v>
      </c>
      <c r="C13" s="40">
        <v>139</v>
      </c>
      <c r="D13" s="60"/>
      <c r="E13" s="60"/>
      <c r="F13" s="60"/>
      <c r="G13" s="67"/>
    </row>
    <row r="14" spans="1:8" x14ac:dyDescent="0.25">
      <c r="B14" s="76" t="s">
        <v>196</v>
      </c>
      <c r="C14" s="40">
        <v>119</v>
      </c>
      <c r="D14" s="60"/>
      <c r="E14" s="60"/>
      <c r="F14" s="60"/>
      <c r="G14" s="67"/>
    </row>
    <row r="15" spans="1:8" x14ac:dyDescent="0.25">
      <c r="B15" s="76" t="s">
        <v>197</v>
      </c>
      <c r="C15" s="40">
        <v>91</v>
      </c>
      <c r="D15" s="60"/>
      <c r="E15" s="60"/>
      <c r="F15" s="60"/>
      <c r="G15" s="6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EA443-958D-4367-BD7D-5B2AB1CBCDBE}">
  <sheetPr>
    <tabColor rgb="FFFF0000"/>
  </sheetPr>
  <dimension ref="A1:M24"/>
  <sheetViews>
    <sheetView zoomScale="115" zoomScaleNormal="115" workbookViewId="0">
      <selection activeCell="B4" sqref="B4"/>
    </sheetView>
  </sheetViews>
  <sheetFormatPr defaultRowHeight="15" x14ac:dyDescent="0.25"/>
  <cols>
    <col min="1" max="1" width="5.7109375" customWidth="1"/>
    <col min="2" max="2" width="23.85546875" customWidth="1"/>
    <col min="3" max="3" width="17.42578125" customWidth="1"/>
    <col min="4" max="6" width="28.42578125" bestFit="1" customWidth="1"/>
    <col min="7" max="7" width="16.5703125" bestFit="1" customWidth="1"/>
    <col min="8" max="8" width="3.5703125" customWidth="1"/>
    <col min="9" max="9" width="20.42578125" customWidth="1"/>
    <col min="10" max="10" width="18.7109375" bestFit="1" customWidth="1"/>
  </cols>
  <sheetData>
    <row r="1" spans="1:13" x14ac:dyDescent="0.25">
      <c r="A1" s="41" t="s">
        <v>192</v>
      </c>
      <c r="B1" s="48" t="s">
        <v>209</v>
      </c>
      <c r="C1" s="42"/>
      <c r="D1" s="42"/>
      <c r="E1" s="42"/>
      <c r="F1" s="42"/>
      <c r="G1" s="42"/>
      <c r="H1" s="43"/>
    </row>
    <row r="2" spans="1:13" x14ac:dyDescent="0.25">
      <c r="A2" s="41"/>
      <c r="B2" s="49" t="s">
        <v>250</v>
      </c>
      <c r="C2" s="46"/>
      <c r="D2" s="46"/>
      <c r="E2" s="46"/>
      <c r="F2" s="46"/>
      <c r="G2" s="46"/>
      <c r="H2" s="47"/>
    </row>
    <row r="4" spans="1:13" x14ac:dyDescent="0.25">
      <c r="D4" s="80" t="str">
        <f>"Formula is "&amp;ADDRESS(ROW(D8),COLUMN(D8),4)&amp;":"</f>
        <v>Formula is D8:</v>
      </c>
      <c r="E4" s="80" t="str">
        <f>"Formula is "&amp;ADDRESS(ROW(E8),COLUMN(E8),4)&amp;":"</f>
        <v>Formula is E8:</v>
      </c>
      <c r="F4" s="80" t="str">
        <f>"Formula is "&amp;ADDRESS(ROW(F8),COLUMN(F8),4)&amp;":"</f>
        <v>Formula is F8:</v>
      </c>
      <c r="G4" s="80" t="str">
        <f>"Formula is "&amp;ADDRESS(ROW(G8),COLUMN(G8),4)&amp;":"</f>
        <v>Formula is G8:</v>
      </c>
      <c r="I4" s="80" t="str">
        <f>"Formula is "&amp;ADDRESS(ROW(I8),COLUMN(I8),4)&amp;":"</f>
        <v>Formula is I8:</v>
      </c>
      <c r="M4" s="97"/>
    </row>
    <row r="5" spans="1:13" x14ac:dyDescent="0.25">
      <c r="D5" t="str">
        <f ca="1">IF(_xlfn.ISFORMULA(D8),_xlfn.FORMULATEXT(D8),"")</f>
        <v>=VLOOKUP(C8,$C$19:$G$24,5)</v>
      </c>
      <c r="E5" t="str">
        <f ca="1">IF(_xlfn.ISFORMULA(E8),_xlfn.FORMULATEXT(E8),"")</f>
        <v>=VLOOKUP(C8,$C$19:$G$24,4)</v>
      </c>
      <c r="F5" t="str">
        <f ca="1">IF(_xlfn.ISFORMULA(F8),_xlfn.FORMULATEXT(F8),"")</f>
        <v>=VLOOKUP(C8,$C$19:$G$24,3)</v>
      </c>
      <c r="G5" t="str">
        <f ca="1">IF(_xlfn.ISFORMULA(G8),_xlfn.FORMULATEXT(G8),"")</f>
        <v>=D8+(C8-E8)*F8</v>
      </c>
      <c r="I5" t="str">
        <f ca="1">IF(_xlfn.ISFORMULA(I8),_xlfn.FORMULATEXT(I8),"")</f>
        <v>=VLOOKUP(C8,$C$19:$G$24,5)+(C8-VLOOKUP(C8,$C$19:$G$24,4))*VLOOKUP(C8,$C$19:$G$24,3)</v>
      </c>
      <c r="M5" s="97"/>
    </row>
    <row r="6" spans="1:13" x14ac:dyDescent="0.25">
      <c r="M6" s="97"/>
    </row>
    <row r="7" spans="1:13" ht="30" x14ac:dyDescent="0.25">
      <c r="B7" s="64" t="s">
        <v>28</v>
      </c>
      <c r="C7" s="64" t="s">
        <v>114</v>
      </c>
      <c r="D7" s="64" t="s">
        <v>163</v>
      </c>
      <c r="E7" s="64" t="s">
        <v>130</v>
      </c>
      <c r="F7" s="64" t="s">
        <v>126</v>
      </c>
      <c r="G7" s="64" t="s">
        <v>110</v>
      </c>
      <c r="I7" s="64" t="s">
        <v>198</v>
      </c>
    </row>
    <row r="8" spans="1:13" x14ac:dyDescent="0.25">
      <c r="B8" s="40" t="s">
        <v>179</v>
      </c>
      <c r="C8" s="40">
        <v>116</v>
      </c>
      <c r="D8" s="60">
        <f>VLOOKUP(C8,$C$19:$G$24,5)</f>
        <v>121.25</v>
      </c>
      <c r="E8" s="60">
        <f>VLOOKUP(C8,$C$19:$G$24,4)</f>
        <v>110</v>
      </c>
      <c r="F8" s="60">
        <f>VLOOKUP(C8,$C$19:$G$24,3)</f>
        <v>1.5</v>
      </c>
      <c r="G8" s="67">
        <f>D8+(C8-E8)*F8</f>
        <v>130.25</v>
      </c>
      <c r="I8" s="67">
        <f>VLOOKUP(C8,$C$19:$G$24,5)+(C8-VLOOKUP(C8,$C$19:$G$24,4))*VLOOKUP(C8,$C$19:$G$24,3)</f>
        <v>130.25</v>
      </c>
      <c r="J8" t="s">
        <v>190</v>
      </c>
    </row>
    <row r="9" spans="1:13" x14ac:dyDescent="0.25">
      <c r="B9" s="40" t="s">
        <v>205</v>
      </c>
      <c r="C9" s="40">
        <v>72</v>
      </c>
      <c r="D9" s="60">
        <f t="shared" ref="D9:D15" si="0">VLOOKUP(C9,$C$19:$G$24,5)</f>
        <v>50</v>
      </c>
      <c r="E9" s="60">
        <f t="shared" ref="E9:E15" si="1">VLOOKUP(C9,$C$19:$G$24,4)</f>
        <v>50</v>
      </c>
      <c r="F9" s="60">
        <f t="shared" ref="F9:F15" si="2">VLOOKUP(C9,$C$19:$G$24,3)</f>
        <v>1.1000000000000001</v>
      </c>
      <c r="G9" s="67">
        <f t="shared" ref="G9:G15" si="3">D9+(C9-E9)*F9</f>
        <v>74.2</v>
      </c>
      <c r="I9" s="67">
        <f t="shared" ref="I9:I15" si="4">VLOOKUP(C9,$C$19:$G$24,5)+(C9-VLOOKUP(C9,$C$19:$G$24,4))*VLOOKUP(C9,$C$19:$G$24,3)</f>
        <v>74.2</v>
      </c>
    </row>
    <row r="10" spans="1:13" x14ac:dyDescent="0.25">
      <c r="B10" s="40" t="s">
        <v>180</v>
      </c>
      <c r="C10" s="40">
        <v>152</v>
      </c>
      <c r="D10" s="60">
        <f t="shared" si="0"/>
        <v>186.25</v>
      </c>
      <c r="E10" s="60">
        <f t="shared" si="1"/>
        <v>150</v>
      </c>
      <c r="F10" s="60">
        <f t="shared" si="2"/>
        <v>2</v>
      </c>
      <c r="G10" s="67">
        <f t="shared" si="3"/>
        <v>190.25</v>
      </c>
      <c r="I10" s="67">
        <f t="shared" si="4"/>
        <v>190.25</v>
      </c>
    </row>
    <row r="11" spans="1:13" x14ac:dyDescent="0.25">
      <c r="B11" s="76" t="s">
        <v>193</v>
      </c>
      <c r="C11" s="40">
        <v>45</v>
      </c>
      <c r="D11" s="60">
        <f t="shared" si="0"/>
        <v>0</v>
      </c>
      <c r="E11" s="60">
        <f t="shared" si="1"/>
        <v>0</v>
      </c>
      <c r="F11" s="60">
        <f t="shared" si="2"/>
        <v>1</v>
      </c>
      <c r="G11" s="67">
        <f t="shared" si="3"/>
        <v>45</v>
      </c>
      <c r="I11" s="67">
        <f t="shared" si="4"/>
        <v>45</v>
      </c>
    </row>
    <row r="12" spans="1:13" x14ac:dyDescent="0.25">
      <c r="B12" s="76" t="s">
        <v>194</v>
      </c>
      <c r="C12" s="40">
        <v>140</v>
      </c>
      <c r="D12" s="60">
        <f t="shared" si="0"/>
        <v>151.25</v>
      </c>
      <c r="E12" s="60">
        <f t="shared" si="1"/>
        <v>130</v>
      </c>
      <c r="F12" s="60">
        <f t="shared" si="2"/>
        <v>1.75</v>
      </c>
      <c r="G12" s="67">
        <f t="shared" si="3"/>
        <v>168.75</v>
      </c>
      <c r="I12" s="67">
        <f t="shared" si="4"/>
        <v>168.75</v>
      </c>
    </row>
    <row r="13" spans="1:13" x14ac:dyDescent="0.25">
      <c r="B13" s="76" t="s">
        <v>195</v>
      </c>
      <c r="C13" s="40">
        <v>139</v>
      </c>
      <c r="D13" s="60">
        <f t="shared" si="0"/>
        <v>151.25</v>
      </c>
      <c r="E13" s="60">
        <f t="shared" si="1"/>
        <v>130</v>
      </c>
      <c r="F13" s="60">
        <f t="shared" si="2"/>
        <v>1.75</v>
      </c>
      <c r="G13" s="67">
        <f t="shared" si="3"/>
        <v>167</v>
      </c>
      <c r="I13" s="67">
        <f t="shared" si="4"/>
        <v>167</v>
      </c>
    </row>
    <row r="14" spans="1:13" x14ac:dyDescent="0.25">
      <c r="B14" s="76" t="s">
        <v>196</v>
      </c>
      <c r="C14" s="40">
        <v>119</v>
      </c>
      <c r="D14" s="60">
        <f t="shared" si="0"/>
        <v>121.25</v>
      </c>
      <c r="E14" s="60">
        <f t="shared" si="1"/>
        <v>110</v>
      </c>
      <c r="F14" s="60">
        <f t="shared" si="2"/>
        <v>1.5</v>
      </c>
      <c r="G14" s="67">
        <f t="shared" si="3"/>
        <v>134.75</v>
      </c>
      <c r="I14" s="67">
        <f t="shared" si="4"/>
        <v>134.75</v>
      </c>
    </row>
    <row r="15" spans="1:13" x14ac:dyDescent="0.25">
      <c r="B15" s="76" t="s">
        <v>197</v>
      </c>
      <c r="C15" s="40">
        <v>91</v>
      </c>
      <c r="D15" s="60">
        <f t="shared" si="0"/>
        <v>77.5</v>
      </c>
      <c r="E15" s="60">
        <f t="shared" si="1"/>
        <v>75</v>
      </c>
      <c r="F15" s="60">
        <f t="shared" si="2"/>
        <v>1.25</v>
      </c>
      <c r="G15" s="67">
        <f t="shared" si="3"/>
        <v>97.5</v>
      </c>
      <c r="I15" s="67">
        <f t="shared" si="4"/>
        <v>97.5</v>
      </c>
    </row>
    <row r="17" spans="2:13" x14ac:dyDescent="0.25">
      <c r="B17" s="81" t="s">
        <v>149</v>
      </c>
      <c r="C17" s="79">
        <v>1</v>
      </c>
      <c r="D17" s="79">
        <v>2</v>
      </c>
      <c r="E17" s="79">
        <v>3</v>
      </c>
      <c r="F17" s="79">
        <v>4</v>
      </c>
      <c r="G17" s="79">
        <v>5</v>
      </c>
      <c r="M17" s="97"/>
    </row>
    <row r="18" spans="2:13" ht="45" x14ac:dyDescent="0.25">
      <c r="B18" s="64" t="s">
        <v>102</v>
      </c>
      <c r="C18" s="64" t="s">
        <v>128</v>
      </c>
      <c r="D18" s="64" t="s">
        <v>129</v>
      </c>
      <c r="E18" s="64" t="s">
        <v>126</v>
      </c>
      <c r="F18" s="64" t="s">
        <v>130</v>
      </c>
      <c r="G18" s="64" t="s">
        <v>163</v>
      </c>
      <c r="M18" s="97"/>
    </row>
    <row r="19" spans="2:13" x14ac:dyDescent="0.25">
      <c r="B19" s="60" t="str">
        <f>C19&amp;"- "&amp;D19</f>
        <v>0- 50</v>
      </c>
      <c r="C19" s="65">
        <v>0</v>
      </c>
      <c r="D19" s="40">
        <v>50</v>
      </c>
      <c r="E19" s="66">
        <v>1</v>
      </c>
      <c r="F19" s="40"/>
      <c r="G19" s="40"/>
      <c r="M19" s="97"/>
    </row>
    <row r="20" spans="2:13" x14ac:dyDescent="0.25">
      <c r="B20" s="60" t="str">
        <f t="shared" ref="B20:B24" si="5">C20&amp;"- "&amp;D20</f>
        <v>51- 75</v>
      </c>
      <c r="C20" s="60">
        <f>D19+1</f>
        <v>51</v>
      </c>
      <c r="D20" s="40">
        <v>75</v>
      </c>
      <c r="E20" s="66">
        <v>1.1000000000000001</v>
      </c>
      <c r="F20" s="60">
        <f>D19</f>
        <v>50</v>
      </c>
      <c r="G20" s="67">
        <f>(F20-F19)*E19+G19</f>
        <v>50</v>
      </c>
      <c r="M20" s="97"/>
    </row>
    <row r="21" spans="2:13" x14ac:dyDescent="0.25">
      <c r="B21" s="60" t="str">
        <f t="shared" si="5"/>
        <v>76- 110</v>
      </c>
      <c r="C21" s="60">
        <f t="shared" ref="C21:C24" si="6">D20+1</f>
        <v>76</v>
      </c>
      <c r="D21" s="40">
        <v>110</v>
      </c>
      <c r="E21" s="66">
        <v>1.25</v>
      </c>
      <c r="F21" s="60">
        <f>D20</f>
        <v>75</v>
      </c>
      <c r="G21" s="67">
        <f>(F21-F20)*E20+G20</f>
        <v>77.5</v>
      </c>
      <c r="I21" s="89"/>
    </row>
    <row r="22" spans="2:13" x14ac:dyDescent="0.25">
      <c r="B22" s="60" t="str">
        <f>C22&amp;"- "&amp;D22</f>
        <v>111- 130</v>
      </c>
      <c r="C22" s="60">
        <f t="shared" si="6"/>
        <v>111</v>
      </c>
      <c r="D22" s="40">
        <v>130</v>
      </c>
      <c r="E22" s="66">
        <v>1.5</v>
      </c>
      <c r="F22" s="60">
        <f t="shared" ref="F22:F23" si="7">D21</f>
        <v>110</v>
      </c>
      <c r="G22" s="67">
        <f t="shared" ref="G22:G24" si="8">(F22-F21)*E21+G21</f>
        <v>121.25</v>
      </c>
      <c r="M22" s="97"/>
    </row>
    <row r="23" spans="2:13" x14ac:dyDescent="0.25">
      <c r="B23" s="60" t="str">
        <f t="shared" si="5"/>
        <v>131- 150</v>
      </c>
      <c r="C23" s="60">
        <f t="shared" si="6"/>
        <v>131</v>
      </c>
      <c r="D23" s="40">
        <v>150</v>
      </c>
      <c r="E23" s="66">
        <v>1.75</v>
      </c>
      <c r="F23" s="60">
        <f t="shared" si="7"/>
        <v>130</v>
      </c>
      <c r="G23" s="67">
        <f t="shared" si="8"/>
        <v>151.25</v>
      </c>
      <c r="M23" s="97"/>
    </row>
    <row r="24" spans="2:13" x14ac:dyDescent="0.25">
      <c r="B24" s="60" t="str">
        <f t="shared" si="5"/>
        <v>151- More</v>
      </c>
      <c r="C24" s="60">
        <f t="shared" si="6"/>
        <v>151</v>
      </c>
      <c r="D24" s="40" t="s">
        <v>136</v>
      </c>
      <c r="E24" s="66">
        <v>2</v>
      </c>
      <c r="F24" s="60">
        <f>D23</f>
        <v>150</v>
      </c>
      <c r="G24" s="67">
        <f t="shared" si="8"/>
        <v>186.25</v>
      </c>
      <c r="M24" s="97"/>
    </row>
  </sheetData>
  <conditionalFormatting sqref="B19:G24">
    <cfRule type="expression" dxfId="2" priority="1">
      <formula>VLOOKUP(#REF!,$C$19:$C$24,1)=$C19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1058E-4B76-4AA8-B5BD-4F391EAA6B02}">
  <sheetPr>
    <tabColor rgb="FF0000FF"/>
  </sheetPr>
  <dimension ref="A1:M26"/>
  <sheetViews>
    <sheetView zoomScale="115" zoomScaleNormal="115" workbookViewId="0">
      <selection activeCell="I8" sqref="I8"/>
    </sheetView>
  </sheetViews>
  <sheetFormatPr defaultRowHeight="15" x14ac:dyDescent="0.25"/>
  <cols>
    <col min="1" max="1" width="5.7109375" customWidth="1"/>
    <col min="2" max="2" width="23.85546875" customWidth="1"/>
    <col min="3" max="3" width="17.42578125" customWidth="1"/>
    <col min="4" max="6" width="28.42578125" bestFit="1" customWidth="1"/>
    <col min="7" max="7" width="16.5703125" bestFit="1" customWidth="1"/>
    <col min="8" max="8" width="3.5703125" customWidth="1"/>
    <col min="9" max="9" width="20.42578125" customWidth="1"/>
    <col min="10" max="10" width="18.7109375" bestFit="1" customWidth="1"/>
  </cols>
  <sheetData>
    <row r="1" spans="1:13" x14ac:dyDescent="0.25">
      <c r="A1" s="41" t="s">
        <v>210</v>
      </c>
      <c r="B1" s="114" t="s">
        <v>253</v>
      </c>
      <c r="C1" s="42"/>
      <c r="D1" s="42"/>
      <c r="E1" s="42"/>
      <c r="F1" s="42"/>
      <c r="G1" s="42"/>
      <c r="H1" s="43"/>
    </row>
    <row r="2" spans="1:13" x14ac:dyDescent="0.25">
      <c r="A2" s="41"/>
      <c r="B2" s="49" t="s">
        <v>250</v>
      </c>
      <c r="C2" s="46"/>
      <c r="D2" s="46"/>
      <c r="E2" s="46"/>
      <c r="F2" s="46"/>
      <c r="G2" s="46"/>
      <c r="H2" s="47"/>
    </row>
    <row r="4" spans="1:13" x14ac:dyDescent="0.25">
      <c r="D4" s="80" t="str">
        <f>"Formula is "&amp;ADDRESS(ROW(D8),COLUMN(D8),4)&amp;":"</f>
        <v>Formula is D8:</v>
      </c>
      <c r="E4" s="80" t="str">
        <f>"Formula is "&amp;ADDRESS(ROW(E8),COLUMN(E8),4)&amp;":"</f>
        <v>Formula is E8:</v>
      </c>
      <c r="F4" s="80" t="str">
        <f>"Formula is "&amp;ADDRESS(ROW(F8),COLUMN(F8),4)&amp;":"</f>
        <v>Formula is F8:</v>
      </c>
      <c r="G4" s="80" t="str">
        <f>"Formula is "&amp;ADDRESS(ROW(G8),COLUMN(G8),4)&amp;":"</f>
        <v>Formula is G8:</v>
      </c>
      <c r="M4" s="97"/>
    </row>
    <row r="5" spans="1:13" x14ac:dyDescent="0.25">
      <c r="D5" t="str">
        <f ca="1">IF(_xlfn.ISFORMULA(D8),_xlfn.FORMULATEXT(D8),"")</f>
        <v>=VLOOKUP(C8,$C$19:$G$24,5)</v>
      </c>
      <c r="E5" t="str">
        <f ca="1">IF(_xlfn.ISFORMULA(E8),_xlfn.FORMULATEXT(E8),"")</f>
        <v>=VLOOKUP(C8,$C$19:$G$24,4)</v>
      </c>
      <c r="F5" t="str">
        <f ca="1">IF(_xlfn.ISFORMULA(F8),_xlfn.FORMULATEXT(F8),"")</f>
        <v>=VLOOKUP(C8,$C$19:$G$24,3)</v>
      </c>
      <c r="G5" t="str">
        <f ca="1">IF(_xlfn.ISFORMULA(G8),_xlfn.FORMULATEXT(G8),"")</f>
        <v>=D8+(C8-E8)*F8</v>
      </c>
      <c r="M5" s="97"/>
    </row>
    <row r="6" spans="1:13" x14ac:dyDescent="0.25">
      <c r="M6" s="97"/>
    </row>
    <row r="7" spans="1:13" ht="30" x14ac:dyDescent="0.25">
      <c r="B7" s="64" t="s">
        <v>28</v>
      </c>
      <c r="C7" s="64" t="s">
        <v>114</v>
      </c>
      <c r="D7" s="64" t="s">
        <v>163</v>
      </c>
      <c r="E7" s="64" t="s">
        <v>130</v>
      </c>
      <c r="F7" s="64" t="s">
        <v>126</v>
      </c>
      <c r="G7" s="64" t="s">
        <v>110</v>
      </c>
      <c r="I7" s="64" t="s">
        <v>198</v>
      </c>
      <c r="J7" t="s">
        <v>190</v>
      </c>
    </row>
    <row r="8" spans="1:13" x14ac:dyDescent="0.25">
      <c r="B8" s="40" t="s">
        <v>179</v>
      </c>
      <c r="C8" s="40">
        <v>116</v>
      </c>
      <c r="D8" s="60">
        <f>VLOOKUP(C8,$C$19:$G$24,5)</f>
        <v>121.25</v>
      </c>
      <c r="E8" s="60">
        <f>VLOOKUP(C8,$C$19:$G$24,4)</f>
        <v>110</v>
      </c>
      <c r="F8" s="60">
        <f>VLOOKUP(C8,$C$19:$G$24,3)</f>
        <v>1.5</v>
      </c>
      <c r="G8" s="67">
        <f>D8+(C8-E8)*F8</f>
        <v>130.25</v>
      </c>
      <c r="I8" s="67"/>
    </row>
    <row r="9" spans="1:13" x14ac:dyDescent="0.25">
      <c r="B9" s="40" t="s">
        <v>205</v>
      </c>
      <c r="C9" s="40">
        <v>72</v>
      </c>
      <c r="D9" s="60">
        <f t="shared" ref="D9:D15" si="0">VLOOKUP(C9,$C$19:$G$24,5)</f>
        <v>50</v>
      </c>
      <c r="E9" s="60">
        <f t="shared" ref="E9:E15" si="1">VLOOKUP(C9,$C$19:$G$24,4)</f>
        <v>50</v>
      </c>
      <c r="F9" s="60">
        <f t="shared" ref="F9:F15" si="2">VLOOKUP(C9,$C$19:$G$24,3)</f>
        <v>1.1000000000000001</v>
      </c>
      <c r="G9" s="67">
        <f t="shared" ref="G9:G15" si="3">D9+(C9-E9)*F9</f>
        <v>74.2</v>
      </c>
      <c r="I9" s="67"/>
    </row>
    <row r="10" spans="1:13" x14ac:dyDescent="0.25">
      <c r="B10" s="40" t="s">
        <v>180</v>
      </c>
      <c r="C10" s="40">
        <v>152</v>
      </c>
      <c r="D10" s="60">
        <f t="shared" si="0"/>
        <v>186.25</v>
      </c>
      <c r="E10" s="60">
        <f t="shared" si="1"/>
        <v>150</v>
      </c>
      <c r="F10" s="60">
        <f t="shared" si="2"/>
        <v>2</v>
      </c>
      <c r="G10" s="67">
        <f t="shared" si="3"/>
        <v>190.25</v>
      </c>
      <c r="I10" s="67"/>
    </row>
    <row r="11" spans="1:13" x14ac:dyDescent="0.25">
      <c r="B11" s="76" t="s">
        <v>193</v>
      </c>
      <c r="C11" s="40">
        <v>45</v>
      </c>
      <c r="D11" s="60">
        <f t="shared" si="0"/>
        <v>0</v>
      </c>
      <c r="E11" s="60">
        <f t="shared" si="1"/>
        <v>0</v>
      </c>
      <c r="F11" s="60">
        <f t="shared" si="2"/>
        <v>1</v>
      </c>
      <c r="G11" s="67">
        <f t="shared" si="3"/>
        <v>45</v>
      </c>
      <c r="I11" s="67"/>
    </row>
    <row r="12" spans="1:13" x14ac:dyDescent="0.25">
      <c r="B12" s="76" t="s">
        <v>194</v>
      </c>
      <c r="C12" s="40">
        <v>140</v>
      </c>
      <c r="D12" s="60">
        <f t="shared" si="0"/>
        <v>151.25</v>
      </c>
      <c r="E12" s="60">
        <f t="shared" si="1"/>
        <v>130</v>
      </c>
      <c r="F12" s="60">
        <f t="shared" si="2"/>
        <v>1.75</v>
      </c>
      <c r="G12" s="67">
        <f t="shared" si="3"/>
        <v>168.75</v>
      </c>
      <c r="I12" s="67"/>
    </row>
    <row r="13" spans="1:13" x14ac:dyDescent="0.25">
      <c r="B13" s="76" t="s">
        <v>195</v>
      </c>
      <c r="C13" s="40">
        <v>139</v>
      </c>
      <c r="D13" s="60">
        <f t="shared" si="0"/>
        <v>151.25</v>
      </c>
      <c r="E13" s="60">
        <f t="shared" si="1"/>
        <v>130</v>
      </c>
      <c r="F13" s="60">
        <f t="shared" si="2"/>
        <v>1.75</v>
      </c>
      <c r="G13" s="67">
        <f t="shared" si="3"/>
        <v>167</v>
      </c>
      <c r="I13" s="67"/>
    </row>
    <row r="14" spans="1:13" x14ac:dyDescent="0.25">
      <c r="B14" s="76" t="s">
        <v>196</v>
      </c>
      <c r="C14" s="40">
        <v>119</v>
      </c>
      <c r="D14" s="60">
        <f t="shared" si="0"/>
        <v>121.25</v>
      </c>
      <c r="E14" s="60">
        <f t="shared" si="1"/>
        <v>110</v>
      </c>
      <c r="F14" s="60">
        <f t="shared" si="2"/>
        <v>1.5</v>
      </c>
      <c r="G14" s="67">
        <f t="shared" si="3"/>
        <v>134.75</v>
      </c>
      <c r="I14" s="67"/>
    </row>
    <row r="15" spans="1:13" x14ac:dyDescent="0.25">
      <c r="B15" s="76" t="s">
        <v>197</v>
      </c>
      <c r="C15" s="40">
        <v>91</v>
      </c>
      <c r="D15" s="60">
        <f t="shared" si="0"/>
        <v>77.5</v>
      </c>
      <c r="E15" s="60">
        <f t="shared" si="1"/>
        <v>75</v>
      </c>
      <c r="F15" s="60">
        <f t="shared" si="2"/>
        <v>1.25</v>
      </c>
      <c r="G15" s="67">
        <f t="shared" si="3"/>
        <v>97.5</v>
      </c>
      <c r="I15" s="67"/>
    </row>
    <row r="17" spans="2:13" x14ac:dyDescent="0.25">
      <c r="B17" s="81" t="s">
        <v>149</v>
      </c>
      <c r="C17" s="79">
        <v>1</v>
      </c>
      <c r="D17" s="79">
        <v>2</v>
      </c>
      <c r="E17" s="79">
        <v>3</v>
      </c>
      <c r="F17" s="79">
        <v>4</v>
      </c>
      <c r="G17" s="79">
        <v>5</v>
      </c>
      <c r="M17" s="97"/>
    </row>
    <row r="18" spans="2:13" ht="45" x14ac:dyDescent="0.25">
      <c r="B18" s="64" t="s">
        <v>102</v>
      </c>
      <c r="C18" s="64" t="s">
        <v>128</v>
      </c>
      <c r="D18" s="64" t="s">
        <v>129</v>
      </c>
      <c r="E18" s="64" t="s">
        <v>126</v>
      </c>
      <c r="F18" s="64" t="s">
        <v>130</v>
      </c>
      <c r="G18" s="64" t="s">
        <v>163</v>
      </c>
      <c r="M18" s="97"/>
    </row>
    <row r="19" spans="2:13" x14ac:dyDescent="0.25">
      <c r="B19" s="60" t="str">
        <f>C19&amp;"- "&amp;D19</f>
        <v>0- 50</v>
      </c>
      <c r="C19" s="65">
        <v>0</v>
      </c>
      <c r="D19" s="40">
        <v>50</v>
      </c>
      <c r="E19" s="66">
        <v>1</v>
      </c>
      <c r="F19" s="40"/>
      <c r="G19" s="40"/>
      <c r="M19" s="97"/>
    </row>
    <row r="20" spans="2:13" x14ac:dyDescent="0.25">
      <c r="B20" s="60" t="str">
        <f t="shared" ref="B20:B24" si="4">C20&amp;"- "&amp;D20</f>
        <v>51- 75</v>
      </c>
      <c r="C20" s="60">
        <f>D19+1</f>
        <v>51</v>
      </c>
      <c r="D20" s="40">
        <v>75</v>
      </c>
      <c r="E20" s="66">
        <v>1.1000000000000001</v>
      </c>
      <c r="F20" s="60">
        <f>D19</f>
        <v>50</v>
      </c>
      <c r="G20" s="67">
        <f>(F20-F19)*E19+G19</f>
        <v>50</v>
      </c>
      <c r="M20" s="97"/>
    </row>
    <row r="21" spans="2:13" x14ac:dyDescent="0.25">
      <c r="B21" s="60" t="str">
        <f t="shared" si="4"/>
        <v>76- 110</v>
      </c>
      <c r="C21" s="60">
        <f t="shared" ref="C21:C24" si="5">D20+1</f>
        <v>76</v>
      </c>
      <c r="D21" s="40">
        <v>110</v>
      </c>
      <c r="E21" s="66">
        <v>1.25</v>
      </c>
      <c r="F21" s="60">
        <f>D20</f>
        <v>75</v>
      </c>
      <c r="G21" s="67">
        <f>(F21-F20)*E20+G20</f>
        <v>77.5</v>
      </c>
      <c r="I21" s="89"/>
    </row>
    <row r="22" spans="2:13" x14ac:dyDescent="0.25">
      <c r="B22" s="60" t="str">
        <f>C22&amp;"- "&amp;D22</f>
        <v>111- 130</v>
      </c>
      <c r="C22" s="60">
        <f t="shared" si="5"/>
        <v>111</v>
      </c>
      <c r="D22" s="40">
        <v>130</v>
      </c>
      <c r="E22" s="66">
        <v>1.5</v>
      </c>
      <c r="F22" s="60">
        <f t="shared" ref="F22:F23" si="6">D21</f>
        <v>110</v>
      </c>
      <c r="G22" s="67">
        <f t="shared" ref="G22:G24" si="7">(F22-F21)*E21+G21</f>
        <v>121.25</v>
      </c>
      <c r="M22" s="97"/>
    </row>
    <row r="23" spans="2:13" x14ac:dyDescent="0.25">
      <c r="B23" s="60" t="str">
        <f t="shared" si="4"/>
        <v>131- 150</v>
      </c>
      <c r="C23" s="60">
        <f t="shared" si="5"/>
        <v>131</v>
      </c>
      <c r="D23" s="40">
        <v>150</v>
      </c>
      <c r="E23" s="66">
        <v>1.75</v>
      </c>
      <c r="F23" s="60">
        <f t="shared" si="6"/>
        <v>130</v>
      </c>
      <c r="G23" s="67">
        <f t="shared" si="7"/>
        <v>151.25</v>
      </c>
      <c r="M23" s="97"/>
    </row>
    <row r="24" spans="2:13" x14ac:dyDescent="0.25">
      <c r="B24" s="60" t="str">
        <f t="shared" si="4"/>
        <v>151- More</v>
      </c>
      <c r="C24" s="60">
        <f t="shared" si="5"/>
        <v>151</v>
      </c>
      <c r="D24" s="40" t="s">
        <v>136</v>
      </c>
      <c r="E24" s="66">
        <v>2</v>
      </c>
      <c r="F24" s="60">
        <f>D23</f>
        <v>150</v>
      </c>
      <c r="G24" s="67">
        <f t="shared" si="7"/>
        <v>186.25</v>
      </c>
      <c r="M24" s="97"/>
    </row>
    <row r="26" spans="2:13" x14ac:dyDescent="0.25">
      <c r="E26" s="80" t="str">
        <f>"Formula is "&amp;ADDRESS(ROW(I8),COLUMN(I8),4)&amp;":"</f>
        <v>Formula is I8:</v>
      </c>
      <c r="F26" t="str">
        <f ca="1">IF(_xlfn.ISFORMULA(I8),_xlfn.FORMULATEXT(I8),"")</f>
        <v/>
      </c>
    </row>
  </sheetData>
  <conditionalFormatting sqref="B19:G24">
    <cfRule type="expression" dxfId="1" priority="1">
      <formula>VLOOKUP(#REF!,$C$19:$C$24,1)=$C19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C0121-FA80-46AB-A3EE-7510BC97F882}">
  <sheetPr>
    <tabColor rgb="FFFF0000"/>
  </sheetPr>
  <dimension ref="A1:M26"/>
  <sheetViews>
    <sheetView zoomScale="115" zoomScaleNormal="115" workbookViewId="0">
      <selection activeCell="I8" sqref="I8"/>
    </sheetView>
  </sheetViews>
  <sheetFormatPr defaultRowHeight="15" x14ac:dyDescent="0.25"/>
  <cols>
    <col min="1" max="1" width="5.7109375" customWidth="1"/>
    <col min="2" max="2" width="23.85546875" customWidth="1"/>
    <col min="3" max="3" width="17.42578125" customWidth="1"/>
    <col min="4" max="6" width="28.42578125" bestFit="1" customWidth="1"/>
    <col min="7" max="7" width="16.5703125" bestFit="1" customWidth="1"/>
    <col min="8" max="8" width="3.5703125" customWidth="1"/>
    <col min="9" max="9" width="20.42578125" customWidth="1"/>
    <col min="10" max="10" width="18.7109375" bestFit="1" customWidth="1"/>
  </cols>
  <sheetData>
    <row r="1" spans="1:13" x14ac:dyDescent="0.25">
      <c r="A1" s="41" t="s">
        <v>210</v>
      </c>
      <c r="B1" s="48" t="s">
        <v>252</v>
      </c>
      <c r="C1" s="42"/>
      <c r="D1" s="42"/>
      <c r="E1" s="42"/>
      <c r="F1" s="42"/>
      <c r="G1" s="42"/>
      <c r="H1" s="43"/>
    </row>
    <row r="2" spans="1:13" x14ac:dyDescent="0.25">
      <c r="A2" s="41"/>
      <c r="B2" s="49" t="s">
        <v>250</v>
      </c>
      <c r="C2" s="46"/>
      <c r="D2" s="46"/>
      <c r="E2" s="46"/>
      <c r="F2" s="46"/>
      <c r="G2" s="46"/>
      <c r="H2" s="47"/>
    </row>
    <row r="4" spans="1:13" x14ac:dyDescent="0.25">
      <c r="D4" s="80" t="str">
        <f>"Formula is "&amp;ADDRESS(ROW(D8),COLUMN(D8),4)&amp;":"</f>
        <v>Formula is D8:</v>
      </c>
      <c r="E4" s="80" t="str">
        <f>"Formula is "&amp;ADDRESS(ROW(E8),COLUMN(E8),4)&amp;":"</f>
        <v>Formula is E8:</v>
      </c>
      <c r="F4" s="80" t="str">
        <f>"Formula is "&amp;ADDRESS(ROW(F8),COLUMN(F8),4)&amp;":"</f>
        <v>Formula is F8:</v>
      </c>
      <c r="G4" s="80" t="str">
        <f>"Formula is "&amp;ADDRESS(ROW(G8),COLUMN(G8),4)&amp;":"</f>
        <v>Formula is G8:</v>
      </c>
      <c r="M4" s="97"/>
    </row>
    <row r="5" spans="1:13" x14ac:dyDescent="0.25">
      <c r="D5" t="str">
        <f ca="1">IF(_xlfn.ISFORMULA(D8),_xlfn.FORMULATEXT(D8),"")</f>
        <v>=VLOOKUP(C8,$C$19:$G$24,5)</v>
      </c>
      <c r="E5" t="str">
        <f ca="1">IF(_xlfn.ISFORMULA(E8),_xlfn.FORMULATEXT(E8),"")</f>
        <v>=VLOOKUP(C8,$C$19:$G$24,4)</v>
      </c>
      <c r="F5" t="str">
        <f ca="1">IF(_xlfn.ISFORMULA(F8),_xlfn.FORMULATEXT(F8),"")</f>
        <v>=VLOOKUP(C8,$C$19:$G$24,3)</v>
      </c>
      <c r="G5" t="str">
        <f ca="1">IF(_xlfn.ISFORMULA(G8),_xlfn.FORMULATEXT(G8),"")</f>
        <v>=D8+(C8-E8)*F8</v>
      </c>
      <c r="M5" s="97"/>
    </row>
    <row r="6" spans="1:13" x14ac:dyDescent="0.25">
      <c r="M6" s="97"/>
    </row>
    <row r="7" spans="1:13" ht="30" x14ac:dyDescent="0.25">
      <c r="B7" s="64" t="s">
        <v>28</v>
      </c>
      <c r="C7" s="64" t="s">
        <v>114</v>
      </c>
      <c r="D7" s="64" t="s">
        <v>163</v>
      </c>
      <c r="E7" s="64" t="s">
        <v>130</v>
      </c>
      <c r="F7" s="64" t="s">
        <v>126</v>
      </c>
      <c r="G7" s="64" t="s">
        <v>110</v>
      </c>
      <c r="I7" s="64" t="s">
        <v>198</v>
      </c>
      <c r="J7" t="s">
        <v>190</v>
      </c>
    </row>
    <row r="8" spans="1:13" x14ac:dyDescent="0.25">
      <c r="B8" s="40" t="s">
        <v>179</v>
      </c>
      <c r="C8" s="40">
        <v>116</v>
      </c>
      <c r="D8" s="60">
        <f>VLOOKUP(C8,$C$19:$G$24,5)</f>
        <v>121.25</v>
      </c>
      <c r="E8" s="60">
        <f>VLOOKUP(C8,$C$19:$G$24,4)</f>
        <v>110</v>
      </c>
      <c r="F8" s="60">
        <f>VLOOKUP(C8,$C$19:$G$24,3)</f>
        <v>1.5</v>
      </c>
      <c r="G8" s="67">
        <f>D8+(C8-E8)*F8</f>
        <v>130.25</v>
      </c>
      <c r="I8" s="67">
        <f>VLOOKUP(C8,$C$19:$G$24,5)+(C8-VLOOKUP(C8,$C$19:$G$24,4))*VLOOKUP(C8,$C$19:$G$24,3)</f>
        <v>130.25</v>
      </c>
    </row>
    <row r="9" spans="1:13" x14ac:dyDescent="0.25">
      <c r="B9" s="40" t="s">
        <v>205</v>
      </c>
      <c r="C9" s="40">
        <v>72</v>
      </c>
      <c r="D9" s="60">
        <f t="shared" ref="D9:D15" si="0">VLOOKUP(C9,$C$19:$G$24,5)</f>
        <v>50</v>
      </c>
      <c r="E9" s="60">
        <f t="shared" ref="E9:E15" si="1">VLOOKUP(C9,$C$19:$G$24,4)</f>
        <v>50</v>
      </c>
      <c r="F9" s="60">
        <f t="shared" ref="F9:F15" si="2">VLOOKUP(C9,$C$19:$G$24,3)</f>
        <v>1.1000000000000001</v>
      </c>
      <c r="G9" s="67">
        <f t="shared" ref="G9:G15" si="3">D9+(C9-E9)*F9</f>
        <v>74.2</v>
      </c>
      <c r="I9" s="67">
        <f t="shared" ref="I9:I15" si="4">VLOOKUP(C9,$C$19:$G$24,5)+(C9-VLOOKUP(C9,$C$19:$G$24,4))*VLOOKUP(C9,$C$19:$G$24,3)</f>
        <v>74.2</v>
      </c>
    </row>
    <row r="10" spans="1:13" x14ac:dyDescent="0.25">
      <c r="B10" s="40" t="s">
        <v>180</v>
      </c>
      <c r="C10" s="40">
        <v>152</v>
      </c>
      <c r="D10" s="60">
        <f t="shared" si="0"/>
        <v>186.25</v>
      </c>
      <c r="E10" s="60">
        <f t="shared" si="1"/>
        <v>150</v>
      </c>
      <c r="F10" s="60">
        <f t="shared" si="2"/>
        <v>2</v>
      </c>
      <c r="G10" s="67">
        <f t="shared" si="3"/>
        <v>190.25</v>
      </c>
      <c r="I10" s="67">
        <f t="shared" si="4"/>
        <v>190.25</v>
      </c>
    </row>
    <row r="11" spans="1:13" x14ac:dyDescent="0.25">
      <c r="B11" s="76" t="s">
        <v>193</v>
      </c>
      <c r="C11" s="40">
        <v>45</v>
      </c>
      <c r="D11" s="60">
        <f t="shared" si="0"/>
        <v>0</v>
      </c>
      <c r="E11" s="60">
        <f t="shared" si="1"/>
        <v>0</v>
      </c>
      <c r="F11" s="60">
        <f t="shared" si="2"/>
        <v>1</v>
      </c>
      <c r="G11" s="67">
        <f t="shared" si="3"/>
        <v>45</v>
      </c>
      <c r="I11" s="67">
        <f t="shared" si="4"/>
        <v>45</v>
      </c>
    </row>
    <row r="12" spans="1:13" x14ac:dyDescent="0.25">
      <c r="B12" s="76" t="s">
        <v>194</v>
      </c>
      <c r="C12" s="40">
        <v>140</v>
      </c>
      <c r="D12" s="60">
        <f t="shared" si="0"/>
        <v>151.25</v>
      </c>
      <c r="E12" s="60">
        <f t="shared" si="1"/>
        <v>130</v>
      </c>
      <c r="F12" s="60">
        <f t="shared" si="2"/>
        <v>1.75</v>
      </c>
      <c r="G12" s="67">
        <f t="shared" si="3"/>
        <v>168.75</v>
      </c>
      <c r="I12" s="67">
        <f t="shared" si="4"/>
        <v>168.75</v>
      </c>
    </row>
    <row r="13" spans="1:13" x14ac:dyDescent="0.25">
      <c r="B13" s="76" t="s">
        <v>195</v>
      </c>
      <c r="C13" s="40">
        <v>139</v>
      </c>
      <c r="D13" s="60">
        <f t="shared" si="0"/>
        <v>151.25</v>
      </c>
      <c r="E13" s="60">
        <f t="shared" si="1"/>
        <v>130</v>
      </c>
      <c r="F13" s="60">
        <f t="shared" si="2"/>
        <v>1.75</v>
      </c>
      <c r="G13" s="67">
        <f t="shared" si="3"/>
        <v>167</v>
      </c>
      <c r="I13" s="67">
        <f t="shared" si="4"/>
        <v>167</v>
      </c>
    </row>
    <row r="14" spans="1:13" x14ac:dyDescent="0.25">
      <c r="B14" s="76" t="s">
        <v>196</v>
      </c>
      <c r="C14" s="40">
        <v>119</v>
      </c>
      <c r="D14" s="60">
        <f t="shared" si="0"/>
        <v>121.25</v>
      </c>
      <c r="E14" s="60">
        <f t="shared" si="1"/>
        <v>110</v>
      </c>
      <c r="F14" s="60">
        <f t="shared" si="2"/>
        <v>1.5</v>
      </c>
      <c r="G14" s="67">
        <f t="shared" si="3"/>
        <v>134.75</v>
      </c>
      <c r="I14" s="67">
        <f t="shared" si="4"/>
        <v>134.75</v>
      </c>
    </row>
    <row r="15" spans="1:13" x14ac:dyDescent="0.25">
      <c r="B15" s="76" t="s">
        <v>197</v>
      </c>
      <c r="C15" s="40">
        <v>91</v>
      </c>
      <c r="D15" s="60">
        <f t="shared" si="0"/>
        <v>77.5</v>
      </c>
      <c r="E15" s="60">
        <f t="shared" si="1"/>
        <v>75</v>
      </c>
      <c r="F15" s="60">
        <f t="shared" si="2"/>
        <v>1.25</v>
      </c>
      <c r="G15" s="67">
        <f t="shared" si="3"/>
        <v>97.5</v>
      </c>
      <c r="I15" s="67">
        <f t="shared" si="4"/>
        <v>97.5</v>
      </c>
    </row>
    <row r="17" spans="2:13" x14ac:dyDescent="0.25">
      <c r="B17" s="81" t="s">
        <v>149</v>
      </c>
      <c r="C17" s="79">
        <v>1</v>
      </c>
      <c r="D17" s="79">
        <v>2</v>
      </c>
      <c r="E17" s="79">
        <v>3</v>
      </c>
      <c r="F17" s="79">
        <v>4</v>
      </c>
      <c r="G17" s="79">
        <v>5</v>
      </c>
      <c r="M17" s="97"/>
    </row>
    <row r="18" spans="2:13" ht="45" x14ac:dyDescent="0.25">
      <c r="B18" s="64" t="s">
        <v>102</v>
      </c>
      <c r="C18" s="64" t="s">
        <v>128</v>
      </c>
      <c r="D18" s="64" t="s">
        <v>129</v>
      </c>
      <c r="E18" s="64" t="s">
        <v>126</v>
      </c>
      <c r="F18" s="64" t="s">
        <v>130</v>
      </c>
      <c r="G18" s="64" t="s">
        <v>163</v>
      </c>
      <c r="M18" s="97"/>
    </row>
    <row r="19" spans="2:13" x14ac:dyDescent="0.25">
      <c r="B19" s="60" t="str">
        <f>C19&amp;"- "&amp;D19</f>
        <v>0- 50</v>
      </c>
      <c r="C19" s="65">
        <v>0</v>
      </c>
      <c r="D19" s="40">
        <v>50</v>
      </c>
      <c r="E19" s="66">
        <v>1</v>
      </c>
      <c r="F19" s="40"/>
      <c r="G19" s="40"/>
      <c r="M19" s="97"/>
    </row>
    <row r="20" spans="2:13" x14ac:dyDescent="0.25">
      <c r="B20" s="60" t="str">
        <f t="shared" ref="B20:B24" si="5">C20&amp;"- "&amp;D20</f>
        <v>51- 75</v>
      </c>
      <c r="C20" s="60">
        <f>D19+1</f>
        <v>51</v>
      </c>
      <c r="D20" s="40">
        <v>75</v>
      </c>
      <c r="E20" s="66">
        <v>1.1000000000000001</v>
      </c>
      <c r="F20" s="60">
        <f>D19</f>
        <v>50</v>
      </c>
      <c r="G20" s="67">
        <f>(F20-F19)*E19+G19</f>
        <v>50</v>
      </c>
      <c r="M20" s="97"/>
    </row>
    <row r="21" spans="2:13" x14ac:dyDescent="0.25">
      <c r="B21" s="60" t="str">
        <f t="shared" si="5"/>
        <v>76- 110</v>
      </c>
      <c r="C21" s="60">
        <f t="shared" ref="C21:C24" si="6">D20+1</f>
        <v>76</v>
      </c>
      <c r="D21" s="40">
        <v>110</v>
      </c>
      <c r="E21" s="66">
        <v>1.25</v>
      </c>
      <c r="F21" s="60">
        <f>D20</f>
        <v>75</v>
      </c>
      <c r="G21" s="67">
        <f>(F21-F20)*E20+G20</f>
        <v>77.5</v>
      </c>
      <c r="I21" s="89"/>
    </row>
    <row r="22" spans="2:13" x14ac:dyDescent="0.25">
      <c r="B22" s="60" t="str">
        <f>C22&amp;"- "&amp;D22</f>
        <v>111- 130</v>
      </c>
      <c r="C22" s="60">
        <f t="shared" si="6"/>
        <v>111</v>
      </c>
      <c r="D22" s="40">
        <v>130</v>
      </c>
      <c r="E22" s="66">
        <v>1.5</v>
      </c>
      <c r="F22" s="60">
        <f t="shared" ref="F22:F23" si="7">D21</f>
        <v>110</v>
      </c>
      <c r="G22" s="67">
        <f t="shared" ref="G22:G24" si="8">(F22-F21)*E21+G21</f>
        <v>121.25</v>
      </c>
      <c r="M22" s="97"/>
    </row>
    <row r="23" spans="2:13" x14ac:dyDescent="0.25">
      <c r="B23" s="60" t="str">
        <f t="shared" si="5"/>
        <v>131- 150</v>
      </c>
      <c r="C23" s="60">
        <f t="shared" si="6"/>
        <v>131</v>
      </c>
      <c r="D23" s="40">
        <v>150</v>
      </c>
      <c r="E23" s="66">
        <v>1.75</v>
      </c>
      <c r="F23" s="60">
        <f t="shared" si="7"/>
        <v>130</v>
      </c>
      <c r="G23" s="67">
        <f t="shared" si="8"/>
        <v>151.25</v>
      </c>
      <c r="M23" s="97"/>
    </row>
    <row r="24" spans="2:13" x14ac:dyDescent="0.25">
      <c r="B24" s="60" t="str">
        <f t="shared" si="5"/>
        <v>151- More</v>
      </c>
      <c r="C24" s="60">
        <f t="shared" si="6"/>
        <v>151</v>
      </c>
      <c r="D24" s="40" t="s">
        <v>136</v>
      </c>
      <c r="E24" s="66">
        <v>2</v>
      </c>
      <c r="F24" s="60">
        <f>D23</f>
        <v>150</v>
      </c>
      <c r="G24" s="67">
        <f t="shared" si="8"/>
        <v>186.25</v>
      </c>
      <c r="M24" s="97"/>
    </row>
    <row r="26" spans="2:13" x14ac:dyDescent="0.25">
      <c r="E26" s="80" t="str">
        <f>"Formula is "&amp;ADDRESS(ROW(I8),COLUMN(I8),4)&amp;":"</f>
        <v>Formula is I8:</v>
      </c>
      <c r="F26" t="str">
        <f ca="1">IF(_xlfn.ISFORMULA(I8),_xlfn.FORMULATEXT(I8),"")</f>
        <v>=VLOOKUP(C8,$C$19:$G$24,5)+(C8-VLOOKUP(C8,$C$19:$G$24,4))*VLOOKUP(C8,$C$19:$G$24,3)</v>
      </c>
    </row>
  </sheetData>
  <conditionalFormatting sqref="B19:G24">
    <cfRule type="expression" dxfId="0" priority="1">
      <formula>VLOOKUP(#REF!,$C$19:$C$24,1)=$C19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D8295-BDF1-41CC-8326-7B0026E54969}">
  <sheetPr>
    <tabColor rgb="FFFFFF00"/>
  </sheetPr>
  <dimension ref="B1:J79"/>
  <sheetViews>
    <sheetView showGridLines="0" zoomScale="160" zoomScaleNormal="160" workbookViewId="0"/>
  </sheetViews>
  <sheetFormatPr defaultRowHeight="15" x14ac:dyDescent="0.25"/>
  <cols>
    <col min="1" max="1" width="2" style="26" customWidth="1"/>
    <col min="2" max="2" width="18.7109375" style="26" customWidth="1"/>
    <col min="3" max="3" width="25.42578125" style="26" customWidth="1"/>
    <col min="4" max="4" width="15.5703125" style="26" customWidth="1"/>
    <col min="5" max="6" width="15" style="26" customWidth="1"/>
    <col min="7" max="7" width="30.5703125" style="26" customWidth="1"/>
    <col min="8" max="8" width="17.42578125" style="26" customWidth="1"/>
    <col min="9" max="10" width="12.5703125" style="26" customWidth="1"/>
    <col min="11" max="16384" width="9.140625" style="26"/>
  </cols>
  <sheetData>
    <row r="1" spans="2:7" ht="8.25" customHeight="1" x14ac:dyDescent="0.25"/>
    <row r="2" spans="2:7" x14ac:dyDescent="0.25">
      <c r="B2" s="25" t="s">
        <v>9</v>
      </c>
    </row>
    <row r="3" spans="2:7" x14ac:dyDescent="0.25">
      <c r="B3" s="25" t="s">
        <v>10</v>
      </c>
    </row>
    <row r="4" spans="2:7" x14ac:dyDescent="0.25">
      <c r="B4" s="27" t="s">
        <v>11</v>
      </c>
    </row>
    <row r="6" spans="2:7" x14ac:dyDescent="0.25">
      <c r="B6" s="28" t="s">
        <v>12</v>
      </c>
      <c r="C6" s="29"/>
      <c r="E6" s="30"/>
      <c r="F6" s="30"/>
      <c r="G6" s="30"/>
    </row>
    <row r="8" spans="2:7" x14ac:dyDescent="0.25">
      <c r="B8" s="31" t="s">
        <v>13</v>
      </c>
      <c r="C8" s="31" t="s">
        <v>14</v>
      </c>
    </row>
    <row r="9" spans="2:7" x14ac:dyDescent="0.25">
      <c r="B9" s="32">
        <v>0</v>
      </c>
      <c r="C9" s="32">
        <v>0</v>
      </c>
    </row>
    <row r="10" spans="2:7" x14ac:dyDescent="0.25">
      <c r="B10" s="102">
        <v>5000</v>
      </c>
      <c r="C10" s="102">
        <v>200</v>
      </c>
    </row>
    <row r="11" spans="2:7" x14ac:dyDescent="0.25">
      <c r="B11" s="32">
        <v>12500</v>
      </c>
      <c r="C11" s="32">
        <v>625</v>
      </c>
    </row>
    <row r="12" spans="2:7" x14ac:dyDescent="0.25">
      <c r="B12" s="32">
        <v>15000</v>
      </c>
      <c r="C12" s="32">
        <v>975</v>
      </c>
    </row>
    <row r="13" spans="2:7" x14ac:dyDescent="0.25">
      <c r="B13" s="32">
        <v>20000</v>
      </c>
      <c r="C13" s="32">
        <v>1700.0000000000002</v>
      </c>
    </row>
    <row r="15" spans="2:7" x14ac:dyDescent="0.25">
      <c r="B15" s="28" t="s">
        <v>15</v>
      </c>
      <c r="C15" s="33"/>
      <c r="D15" s="29"/>
      <c r="E15" s="30"/>
      <c r="F15" s="30"/>
      <c r="G15" s="30"/>
    </row>
    <row r="17" spans="2:7" x14ac:dyDescent="0.25">
      <c r="B17" s="34" t="s">
        <v>16</v>
      </c>
      <c r="C17" s="34" t="s">
        <v>17</v>
      </c>
      <c r="D17" s="34" t="s">
        <v>18</v>
      </c>
    </row>
    <row r="18" spans="2:7" x14ac:dyDescent="0.25">
      <c r="B18" s="35" t="s">
        <v>19</v>
      </c>
      <c r="C18" s="35" t="s">
        <v>20</v>
      </c>
      <c r="D18" s="36">
        <v>19.95</v>
      </c>
    </row>
    <row r="19" spans="2:7" x14ac:dyDescent="0.25">
      <c r="B19" s="35" t="s">
        <v>21</v>
      </c>
      <c r="C19" s="35" t="s">
        <v>162</v>
      </c>
      <c r="D19" s="36">
        <v>18.95</v>
      </c>
    </row>
    <row r="20" spans="2:7" x14ac:dyDescent="0.25">
      <c r="B20" s="103" t="s">
        <v>22</v>
      </c>
      <c r="C20" s="103" t="s">
        <v>23</v>
      </c>
      <c r="D20" s="104">
        <v>43.95</v>
      </c>
    </row>
    <row r="21" spans="2:7" x14ac:dyDescent="0.25">
      <c r="B21" s="35" t="s">
        <v>24</v>
      </c>
      <c r="C21" s="35" t="s">
        <v>23</v>
      </c>
      <c r="D21" s="36">
        <v>26.95</v>
      </c>
    </row>
    <row r="22" spans="2:7" x14ac:dyDescent="0.25">
      <c r="B22" s="35" t="s">
        <v>25</v>
      </c>
      <c r="C22" s="35" t="s">
        <v>23</v>
      </c>
      <c r="D22" s="36">
        <v>27.95</v>
      </c>
    </row>
    <row r="24" spans="2:7" x14ac:dyDescent="0.25">
      <c r="B24" s="99" t="s">
        <v>183</v>
      </c>
      <c r="C24" s="100"/>
      <c r="D24" s="100"/>
      <c r="E24" s="100"/>
      <c r="F24" s="101"/>
      <c r="G24" s="30"/>
    </row>
    <row r="25" spans="2:7" customFormat="1" x14ac:dyDescent="0.25"/>
    <row r="26" spans="2:7" customFormat="1" ht="60" x14ac:dyDescent="0.25">
      <c r="B26" s="64" t="s">
        <v>128</v>
      </c>
      <c r="C26" s="64" t="s">
        <v>129</v>
      </c>
      <c r="D26" s="64" t="s">
        <v>126</v>
      </c>
      <c r="E26" s="64" t="s">
        <v>130</v>
      </c>
      <c r="F26" s="64" t="s">
        <v>163</v>
      </c>
    </row>
    <row r="27" spans="2:7" customFormat="1" x14ac:dyDescent="0.25">
      <c r="B27" s="93">
        <v>0</v>
      </c>
      <c r="C27" s="76">
        <v>50</v>
      </c>
      <c r="D27" s="94">
        <v>1</v>
      </c>
      <c r="E27" s="76"/>
      <c r="F27" s="76"/>
    </row>
    <row r="28" spans="2:7" customFormat="1" x14ac:dyDescent="0.25">
      <c r="B28" s="76">
        <v>51</v>
      </c>
      <c r="C28" s="76">
        <v>75</v>
      </c>
      <c r="D28" s="94">
        <v>1.1000000000000001</v>
      </c>
      <c r="E28" s="76">
        <f>C27</f>
        <v>50</v>
      </c>
      <c r="F28" s="94">
        <f>(E28-E27)*D27+F27</f>
        <v>50</v>
      </c>
    </row>
    <row r="29" spans="2:7" customFormat="1" x14ac:dyDescent="0.25">
      <c r="B29" s="76">
        <v>76</v>
      </c>
      <c r="C29" s="76">
        <v>110</v>
      </c>
      <c r="D29" s="94">
        <v>1.25</v>
      </c>
      <c r="E29" s="76">
        <f>C28</f>
        <v>75</v>
      </c>
      <c r="F29" s="94">
        <f>(E29-E28)*D28+F28</f>
        <v>77.5</v>
      </c>
    </row>
    <row r="30" spans="2:7" customFormat="1" x14ac:dyDescent="0.25">
      <c r="B30" s="80">
        <v>111</v>
      </c>
      <c r="C30" s="80">
        <v>130</v>
      </c>
      <c r="D30" s="96">
        <v>1.5</v>
      </c>
      <c r="E30" s="80">
        <f>C29</f>
        <v>110</v>
      </c>
      <c r="F30" s="96">
        <f t="shared" ref="F30:F32" si="0">(E30-E29)*D29+F29</f>
        <v>121.25</v>
      </c>
    </row>
    <row r="31" spans="2:7" customFormat="1" x14ac:dyDescent="0.25">
      <c r="B31" s="76">
        <v>131</v>
      </c>
      <c r="C31" s="76">
        <v>150</v>
      </c>
      <c r="D31" s="94">
        <v>1.75</v>
      </c>
      <c r="E31" s="76">
        <f>C30</f>
        <v>130</v>
      </c>
      <c r="F31" s="94">
        <f t="shared" si="0"/>
        <v>151.25</v>
      </c>
    </row>
    <row r="32" spans="2:7" customFormat="1" x14ac:dyDescent="0.25">
      <c r="B32" s="76">
        <v>151</v>
      </c>
      <c r="C32" s="76" t="s">
        <v>136</v>
      </c>
      <c r="D32" s="94">
        <v>2</v>
      </c>
      <c r="E32" s="76">
        <f>C31</f>
        <v>150</v>
      </c>
      <c r="F32" s="94">
        <f t="shared" si="0"/>
        <v>186.25</v>
      </c>
    </row>
    <row r="33" spans="2:10" customFormat="1" x14ac:dyDescent="0.25"/>
    <row r="34" spans="2:10" x14ac:dyDescent="0.25">
      <c r="B34" s="99" t="s">
        <v>206</v>
      </c>
      <c r="C34" s="100"/>
      <c r="D34" s="100"/>
      <c r="E34" s="100"/>
      <c r="F34" s="101"/>
      <c r="G34" s="30"/>
    </row>
    <row r="35" spans="2:10" customFormat="1" x14ac:dyDescent="0.25"/>
    <row r="36" spans="2:10" customFormat="1" ht="60" x14ac:dyDescent="0.25">
      <c r="B36" s="64" t="s">
        <v>26</v>
      </c>
      <c r="C36" s="64" t="s">
        <v>207</v>
      </c>
      <c r="D36" s="64" t="s">
        <v>208</v>
      </c>
      <c r="E36" s="64" t="s">
        <v>181</v>
      </c>
      <c r="F36" s="64" t="s">
        <v>182</v>
      </c>
    </row>
    <row r="37" spans="2:10" customFormat="1" x14ac:dyDescent="0.25">
      <c r="B37" s="76">
        <v>0</v>
      </c>
      <c r="C37" s="94">
        <v>5000</v>
      </c>
      <c r="D37" s="105">
        <v>0.01</v>
      </c>
      <c r="E37" s="76"/>
      <c r="F37" s="76"/>
    </row>
    <row r="38" spans="2:10" customFormat="1" x14ac:dyDescent="0.25">
      <c r="B38" s="94">
        <f>C37+0.01</f>
        <v>5000.01</v>
      </c>
      <c r="C38" s="94">
        <v>7000</v>
      </c>
      <c r="D38" s="105">
        <v>1.4999999999999999E-2</v>
      </c>
      <c r="E38" s="94">
        <f>C37</f>
        <v>5000</v>
      </c>
      <c r="F38" s="94">
        <f>ROUND(C37*D37,2)</f>
        <v>50</v>
      </c>
    </row>
    <row r="39" spans="2:10" customFormat="1" x14ac:dyDescent="0.25">
      <c r="B39" s="96">
        <f t="shared" ref="B39:B42" si="1">C38+0.01</f>
        <v>7000.01</v>
      </c>
      <c r="C39" s="96">
        <v>9000</v>
      </c>
      <c r="D39" s="106">
        <v>2.5000000000000001E-2</v>
      </c>
      <c r="E39" s="96">
        <f t="shared" ref="E39:E42" si="2">C38</f>
        <v>7000</v>
      </c>
      <c r="F39" s="96">
        <f>F38+ROUND((C38-C37)*D38,2)</f>
        <v>80</v>
      </c>
    </row>
    <row r="40" spans="2:10" customFormat="1" x14ac:dyDescent="0.25">
      <c r="B40" s="94">
        <f t="shared" si="1"/>
        <v>9000.01</v>
      </c>
      <c r="C40" s="94">
        <v>15000</v>
      </c>
      <c r="D40" s="105">
        <v>0.04</v>
      </c>
      <c r="E40" s="94">
        <f t="shared" si="2"/>
        <v>9000</v>
      </c>
      <c r="F40" s="94">
        <f t="shared" ref="F40:F42" si="3">F39+ROUND((C39-C38)*D39,2)</f>
        <v>130</v>
      </c>
    </row>
    <row r="41" spans="2:10" customFormat="1" x14ac:dyDescent="0.25">
      <c r="B41" s="94">
        <f t="shared" si="1"/>
        <v>15000.01</v>
      </c>
      <c r="C41" s="94">
        <v>25000</v>
      </c>
      <c r="D41" s="105">
        <v>0.05</v>
      </c>
      <c r="E41" s="94">
        <f t="shared" si="2"/>
        <v>15000</v>
      </c>
      <c r="F41" s="94">
        <f t="shared" si="3"/>
        <v>370</v>
      </c>
    </row>
    <row r="42" spans="2:10" customFormat="1" x14ac:dyDescent="0.25">
      <c r="B42" s="94">
        <f t="shared" si="1"/>
        <v>25000.01</v>
      </c>
      <c r="C42" s="94" t="s">
        <v>125</v>
      </c>
      <c r="D42" s="105">
        <v>7.4999999999999997E-2</v>
      </c>
      <c r="E42" s="94">
        <f t="shared" si="2"/>
        <v>25000</v>
      </c>
      <c r="F42" s="94">
        <f t="shared" si="3"/>
        <v>870</v>
      </c>
    </row>
    <row r="43" spans="2:10" customFormat="1" x14ac:dyDescent="0.25"/>
    <row r="44" spans="2:10" x14ac:dyDescent="0.25">
      <c r="B44" s="28" t="s">
        <v>27</v>
      </c>
      <c r="C44" s="33"/>
      <c r="D44" s="29"/>
      <c r="E44" s="30"/>
      <c r="F44" s="30"/>
      <c r="G44" s="30"/>
    </row>
    <row r="46" spans="2:10" x14ac:dyDescent="0.25">
      <c r="B46" s="34" t="s">
        <v>28</v>
      </c>
      <c r="C46" s="34" t="s">
        <v>29</v>
      </c>
      <c r="D46" s="34" t="s">
        <v>30</v>
      </c>
      <c r="E46" s="34" t="s">
        <v>31</v>
      </c>
      <c r="F46" s="34" t="s">
        <v>32</v>
      </c>
      <c r="G46" s="34" t="s">
        <v>33</v>
      </c>
      <c r="H46" s="34" t="s">
        <v>34</v>
      </c>
      <c r="I46" s="34" t="s">
        <v>35</v>
      </c>
      <c r="J46" s="34" t="s">
        <v>36</v>
      </c>
    </row>
    <row r="47" spans="2:10" x14ac:dyDescent="0.25">
      <c r="B47" s="37" t="s">
        <v>37</v>
      </c>
      <c r="C47" s="37" t="s">
        <v>38</v>
      </c>
      <c r="D47" s="37" t="s">
        <v>39</v>
      </c>
      <c r="E47" s="37" t="s">
        <v>40</v>
      </c>
      <c r="F47" s="37">
        <v>98114</v>
      </c>
      <c r="G47" s="37" t="s">
        <v>41</v>
      </c>
      <c r="H47" s="37" t="s">
        <v>42</v>
      </c>
      <c r="I47" s="38">
        <v>38667</v>
      </c>
      <c r="J47" s="39">
        <v>79284</v>
      </c>
    </row>
    <row r="48" spans="2:10" x14ac:dyDescent="0.25">
      <c r="B48" s="37" t="s">
        <v>43</v>
      </c>
      <c r="C48" s="37" t="s">
        <v>44</v>
      </c>
      <c r="D48" s="37" t="s">
        <v>45</v>
      </c>
      <c r="E48" s="37" t="s">
        <v>40</v>
      </c>
      <c r="F48" s="37">
        <v>98131</v>
      </c>
      <c r="G48" s="37" t="s">
        <v>46</v>
      </c>
      <c r="H48" s="37" t="s">
        <v>47</v>
      </c>
      <c r="I48" s="38">
        <v>39729</v>
      </c>
      <c r="J48" s="39">
        <v>39555</v>
      </c>
    </row>
    <row r="49" spans="2:10" x14ac:dyDescent="0.25">
      <c r="B49" s="37" t="s">
        <v>48</v>
      </c>
      <c r="C49" s="37" t="s">
        <v>49</v>
      </c>
      <c r="D49" s="37" t="s">
        <v>39</v>
      </c>
      <c r="E49" s="37" t="s">
        <v>40</v>
      </c>
      <c r="F49" s="37">
        <v>98133</v>
      </c>
      <c r="G49" s="37" t="s">
        <v>50</v>
      </c>
      <c r="H49" s="37" t="s">
        <v>51</v>
      </c>
      <c r="I49" s="38">
        <v>41340</v>
      </c>
      <c r="J49" s="39">
        <v>38066</v>
      </c>
    </row>
    <row r="50" spans="2:10" x14ac:dyDescent="0.25">
      <c r="B50" s="107" t="s">
        <v>52</v>
      </c>
      <c r="C50" s="107" t="s">
        <v>53</v>
      </c>
      <c r="D50" s="107" t="s">
        <v>45</v>
      </c>
      <c r="E50" s="107" t="s">
        <v>40</v>
      </c>
      <c r="F50" s="107">
        <v>98111</v>
      </c>
      <c r="G50" s="107" t="s">
        <v>54</v>
      </c>
      <c r="H50" s="107" t="s">
        <v>55</v>
      </c>
      <c r="I50" s="108">
        <v>41046</v>
      </c>
      <c r="J50" s="109">
        <v>35751</v>
      </c>
    </row>
    <row r="51" spans="2:10" x14ac:dyDescent="0.25">
      <c r="B51" s="37" t="s">
        <v>56</v>
      </c>
      <c r="C51" s="37" t="s">
        <v>57</v>
      </c>
      <c r="D51" s="37" t="s">
        <v>58</v>
      </c>
      <c r="E51" s="37" t="s">
        <v>40</v>
      </c>
      <c r="F51" s="37">
        <v>98124</v>
      </c>
      <c r="G51" s="37" t="s">
        <v>59</v>
      </c>
      <c r="H51" s="37" t="s">
        <v>60</v>
      </c>
      <c r="I51" s="38">
        <v>40630</v>
      </c>
      <c r="J51" s="39">
        <v>61883</v>
      </c>
    </row>
    <row r="52" spans="2:10" x14ac:dyDescent="0.25">
      <c r="B52" s="37" t="s">
        <v>61</v>
      </c>
      <c r="C52" s="37" t="s">
        <v>62</v>
      </c>
      <c r="D52" s="37" t="s">
        <v>58</v>
      </c>
      <c r="E52" s="37" t="s">
        <v>40</v>
      </c>
      <c r="F52" s="37">
        <v>98116</v>
      </c>
      <c r="G52" s="37" t="s">
        <v>63</v>
      </c>
      <c r="H52" s="37" t="s">
        <v>64</v>
      </c>
      <c r="I52" s="38">
        <v>38087</v>
      </c>
      <c r="J52" s="39">
        <v>70157</v>
      </c>
    </row>
    <row r="53" spans="2:10" x14ac:dyDescent="0.25">
      <c r="B53" s="37" t="s">
        <v>65</v>
      </c>
      <c r="C53" s="37" t="s">
        <v>66</v>
      </c>
      <c r="D53" s="37" t="s">
        <v>45</v>
      </c>
      <c r="E53" s="37" t="s">
        <v>40</v>
      </c>
      <c r="F53" s="37">
        <v>98117</v>
      </c>
      <c r="G53" s="37" t="s">
        <v>67</v>
      </c>
      <c r="H53" s="37" t="s">
        <v>68</v>
      </c>
      <c r="I53" s="38">
        <v>38519</v>
      </c>
      <c r="J53" s="39">
        <v>57280</v>
      </c>
    </row>
    <row r="54" spans="2:10" x14ac:dyDescent="0.25">
      <c r="B54" s="37" t="s">
        <v>69</v>
      </c>
      <c r="C54" s="37" t="s">
        <v>70</v>
      </c>
      <c r="D54" s="37" t="s">
        <v>39</v>
      </c>
      <c r="E54" s="37" t="s">
        <v>40</v>
      </c>
      <c r="F54" s="37">
        <v>98114</v>
      </c>
      <c r="G54" s="37" t="s">
        <v>71</v>
      </c>
      <c r="H54" s="37" t="s">
        <v>72</v>
      </c>
      <c r="I54" s="38">
        <v>39767</v>
      </c>
      <c r="J54" s="39">
        <v>63015</v>
      </c>
    </row>
    <row r="55" spans="2:10" x14ac:dyDescent="0.25">
      <c r="B55" s="37" t="s">
        <v>73</v>
      </c>
      <c r="C55" s="37" t="s">
        <v>74</v>
      </c>
      <c r="D55" s="37" t="s">
        <v>39</v>
      </c>
      <c r="E55" s="37" t="s">
        <v>40</v>
      </c>
      <c r="F55" s="37">
        <v>98128</v>
      </c>
      <c r="G55" s="37" t="s">
        <v>75</v>
      </c>
      <c r="H55" s="37" t="s">
        <v>76</v>
      </c>
      <c r="I55" s="38">
        <v>39674</v>
      </c>
      <c r="J55" s="39">
        <v>54005</v>
      </c>
    </row>
    <row r="56" spans="2:10" x14ac:dyDescent="0.25">
      <c r="B56" s="37" t="s">
        <v>77</v>
      </c>
      <c r="C56" s="37" t="s">
        <v>78</v>
      </c>
      <c r="D56" s="37" t="s">
        <v>58</v>
      </c>
      <c r="E56" s="37" t="s">
        <v>40</v>
      </c>
      <c r="F56" s="37">
        <v>98126</v>
      </c>
      <c r="G56" s="37" t="s">
        <v>79</v>
      </c>
      <c r="H56" s="37" t="s">
        <v>80</v>
      </c>
      <c r="I56" s="38">
        <v>39822</v>
      </c>
      <c r="J56" s="39">
        <v>41404</v>
      </c>
    </row>
    <row r="58" spans="2:10" x14ac:dyDescent="0.25">
      <c r="B58" s="28" t="s">
        <v>84</v>
      </c>
      <c r="C58" s="29"/>
      <c r="E58" s="30"/>
      <c r="F58" s="30"/>
      <c r="G58" s="30"/>
    </row>
    <row r="60" spans="2:10" x14ac:dyDescent="0.25">
      <c r="B60" s="31" t="s">
        <v>85</v>
      </c>
      <c r="C60" s="31" t="s">
        <v>86</v>
      </c>
    </row>
    <row r="61" spans="2:10" x14ac:dyDescent="0.25">
      <c r="B61" s="37" t="s">
        <v>87</v>
      </c>
      <c r="C61" s="37" t="s">
        <v>88</v>
      </c>
    </row>
    <row r="62" spans="2:10" x14ac:dyDescent="0.25">
      <c r="B62" s="37" t="s">
        <v>89</v>
      </c>
      <c r="C62" s="37" t="s">
        <v>90</v>
      </c>
    </row>
    <row r="63" spans="2:10" x14ac:dyDescent="0.25">
      <c r="B63" s="37" t="s">
        <v>91</v>
      </c>
      <c r="C63" s="37" t="s">
        <v>92</v>
      </c>
    </row>
    <row r="64" spans="2:10" x14ac:dyDescent="0.25">
      <c r="B64" s="107" t="s">
        <v>93</v>
      </c>
      <c r="C64" s="107" t="s">
        <v>94</v>
      </c>
    </row>
    <row r="65" spans="2:7" x14ac:dyDescent="0.25">
      <c r="B65" s="37" t="s">
        <v>95</v>
      </c>
      <c r="C65" s="37" t="s">
        <v>92</v>
      </c>
    </row>
    <row r="66" spans="2:7" x14ac:dyDescent="0.25">
      <c r="B66" s="37" t="s">
        <v>96</v>
      </c>
      <c r="C66" s="37" t="s">
        <v>97</v>
      </c>
    </row>
    <row r="67" spans="2:7" x14ac:dyDescent="0.25">
      <c r="B67" s="37" t="s">
        <v>98</v>
      </c>
      <c r="C67" s="37" t="s">
        <v>90</v>
      </c>
    </row>
    <row r="68" spans="2:7" x14ac:dyDescent="0.25">
      <c r="B68" s="37" t="s">
        <v>99</v>
      </c>
      <c r="C68" s="37" t="s">
        <v>97</v>
      </c>
    </row>
    <row r="69" spans="2:7" x14ac:dyDescent="0.25">
      <c r="B69" s="37" t="s">
        <v>100</v>
      </c>
      <c r="C69" s="37" t="s">
        <v>88</v>
      </c>
    </row>
    <row r="70" spans="2:7" x14ac:dyDescent="0.25">
      <c r="B70" s="37" t="s">
        <v>101</v>
      </c>
      <c r="C70" s="37" t="s">
        <v>94</v>
      </c>
    </row>
    <row r="72" spans="2:7" x14ac:dyDescent="0.25">
      <c r="B72" s="28" t="s">
        <v>81</v>
      </c>
      <c r="C72" s="29"/>
      <c r="E72" s="30"/>
      <c r="F72" s="30"/>
      <c r="G72" s="30"/>
    </row>
    <row r="74" spans="2:7" x14ac:dyDescent="0.25">
      <c r="B74" s="31" t="s">
        <v>82</v>
      </c>
      <c r="C74" s="31" t="s">
        <v>83</v>
      </c>
    </row>
    <row r="75" spans="2:7" x14ac:dyDescent="0.25">
      <c r="B75" s="32">
        <v>0</v>
      </c>
      <c r="C75" s="36">
        <v>0</v>
      </c>
    </row>
    <row r="76" spans="2:7" x14ac:dyDescent="0.25">
      <c r="B76" s="32">
        <v>1000</v>
      </c>
      <c r="C76" s="36">
        <v>25</v>
      </c>
    </row>
    <row r="77" spans="2:7" x14ac:dyDescent="0.25">
      <c r="B77" s="102">
        <v>2000</v>
      </c>
      <c r="C77" s="104">
        <v>60</v>
      </c>
    </row>
    <row r="78" spans="2:7" x14ac:dyDescent="0.25">
      <c r="B78" s="32">
        <v>5000</v>
      </c>
      <c r="C78" s="36">
        <v>120</v>
      </c>
    </row>
    <row r="79" spans="2:7" x14ac:dyDescent="0.25">
      <c r="B79" s="32">
        <v>10000</v>
      </c>
      <c r="C79" s="36">
        <v>175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87C24-5C7D-4945-AEEA-9FD81413FE87}">
  <sheetPr>
    <tabColor rgb="FF0000FF"/>
  </sheetPr>
  <dimension ref="A1:H7"/>
  <sheetViews>
    <sheetView zoomScale="205" zoomScaleNormal="205" workbookViewId="0">
      <selection activeCell="C7" sqref="C7"/>
    </sheetView>
  </sheetViews>
  <sheetFormatPr defaultRowHeight="15" x14ac:dyDescent="0.25"/>
  <cols>
    <col min="1" max="1" width="6.5703125" customWidth="1"/>
    <col min="2" max="2" width="25.140625" customWidth="1"/>
    <col min="3" max="3" width="15" customWidth="1"/>
    <col min="4" max="4" width="13.85546875" bestFit="1" customWidth="1"/>
    <col min="5" max="5" width="8.85546875" customWidth="1"/>
    <col min="6" max="6" width="11.28515625" customWidth="1"/>
    <col min="7" max="7" width="8" customWidth="1"/>
    <col min="8" max="8" width="4.28515625" customWidth="1"/>
  </cols>
  <sheetData>
    <row r="1" spans="1:8" x14ac:dyDescent="0.25">
      <c r="A1" s="41" t="s">
        <v>211</v>
      </c>
      <c r="B1" s="48" t="s">
        <v>215</v>
      </c>
      <c r="C1" s="42"/>
      <c r="D1" s="42"/>
      <c r="E1" s="42"/>
      <c r="F1" s="42"/>
      <c r="G1" s="42"/>
      <c r="H1" s="43"/>
    </row>
    <row r="2" spans="1:8" x14ac:dyDescent="0.25">
      <c r="B2" s="49" t="s">
        <v>269</v>
      </c>
      <c r="C2" s="46"/>
      <c r="D2" s="46"/>
      <c r="E2" s="46"/>
      <c r="F2" s="46"/>
      <c r="G2" s="46"/>
      <c r="H2" s="47"/>
    </row>
    <row r="3" spans="1:8" x14ac:dyDescent="0.25">
      <c r="B3" s="110" t="s">
        <v>213</v>
      </c>
      <c r="C3" s="111" t="s">
        <v>214</v>
      </c>
    </row>
    <row r="4" spans="1:8" x14ac:dyDescent="0.25">
      <c r="B4" s="50" t="s">
        <v>212</v>
      </c>
      <c r="C4" s="56">
        <v>3000</v>
      </c>
    </row>
    <row r="5" spans="1:8" x14ac:dyDescent="0.25">
      <c r="B5" s="50" t="str">
        <f>C3&amp;"'s Sales for month:"</f>
        <v>Sioux's Sales for month:</v>
      </c>
      <c r="C5" s="56">
        <v>25000</v>
      </c>
    </row>
    <row r="6" spans="1:8" x14ac:dyDescent="0.25">
      <c r="B6" s="51" t="s">
        <v>216</v>
      </c>
      <c r="C6" s="95">
        <v>1.4999999999999999E-2</v>
      </c>
    </row>
    <row r="7" spans="1:8" x14ac:dyDescent="0.25">
      <c r="B7" s="51" t="s">
        <v>110</v>
      </c>
      <c r="C7" s="57"/>
      <c r="E7" t="str">
        <f ca="1">IF(_xlfn.ISFORMULA(C7),""&amp;_xlfn.FORMULATEXT(C7),"")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FC24D-5CC5-4831-9372-98A7B06E6DFF}">
  <sheetPr>
    <tabColor rgb="FFFFFF00"/>
  </sheetPr>
  <dimension ref="A1:L29"/>
  <sheetViews>
    <sheetView showGridLines="0" zoomScale="130" zoomScaleNormal="130" workbookViewId="0">
      <selection activeCell="B4" sqref="B4"/>
    </sheetView>
  </sheetViews>
  <sheetFormatPr defaultRowHeight="15" x14ac:dyDescent="0.25"/>
  <cols>
    <col min="1" max="1" width="22.85546875" customWidth="1"/>
    <col min="2" max="2" width="12.42578125" customWidth="1"/>
    <col min="11" max="12" width="12.140625" bestFit="1" customWidth="1"/>
  </cols>
  <sheetData>
    <row r="1" spans="1:12" ht="18.75" customHeight="1" x14ac:dyDescent="0.25">
      <c r="A1" s="69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5">
      <c r="A2" s="70" t="s">
        <v>140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x14ac:dyDescent="0.25">
      <c r="A3" s="70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x14ac:dyDescent="0.25">
      <c r="A4" s="70"/>
      <c r="B4" s="23"/>
      <c r="C4" s="23"/>
      <c r="D4" s="23"/>
      <c r="E4" s="23"/>
      <c r="F4" s="23" t="s">
        <v>138</v>
      </c>
      <c r="G4" s="23"/>
      <c r="H4" s="23"/>
      <c r="I4" s="23"/>
      <c r="J4" s="23"/>
      <c r="K4" s="23"/>
      <c r="L4" s="23"/>
    </row>
    <row r="5" spans="1:12" x14ac:dyDescent="0.25">
      <c r="A5" s="69" t="s">
        <v>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x14ac:dyDescent="0.25">
      <c r="A6" s="6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x14ac:dyDescent="0.25">
      <c r="A7" s="69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x14ac:dyDescent="0.25">
      <c r="A8" s="69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x14ac:dyDescent="0.25">
      <c r="A9" s="71" t="s">
        <v>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x14ac:dyDescent="0.25">
      <c r="A10" s="72" t="s">
        <v>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x14ac:dyDescent="0.25">
      <c r="A11" s="73" t="s">
        <v>141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x14ac:dyDescent="0.25">
      <c r="A12" s="73" t="s">
        <v>139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x14ac:dyDescent="0.25">
      <c r="A13" s="73"/>
      <c r="B13" s="118" t="s">
        <v>142</v>
      </c>
      <c r="C13" s="119"/>
      <c r="D13" s="120"/>
      <c r="E13" s="23"/>
      <c r="F13" s="23"/>
      <c r="G13" s="23"/>
      <c r="H13" s="23"/>
      <c r="I13" s="23"/>
      <c r="J13" s="23"/>
      <c r="K13" s="23"/>
      <c r="L13" s="23"/>
    </row>
    <row r="14" spans="1:12" x14ac:dyDescent="0.25">
      <c r="A14" s="74"/>
      <c r="B14" s="118" t="s">
        <v>143</v>
      </c>
      <c r="C14" s="119"/>
      <c r="D14" s="120"/>
      <c r="E14" s="23"/>
      <c r="F14" s="23"/>
      <c r="G14" s="23"/>
      <c r="H14" s="23"/>
      <c r="I14" s="23"/>
      <c r="J14" s="23"/>
      <c r="K14" s="23"/>
      <c r="L14" s="23"/>
    </row>
    <row r="15" spans="1:12" x14ac:dyDescent="0.25">
      <c r="A15" s="74"/>
      <c r="B15" s="118" t="s">
        <v>144</v>
      </c>
      <c r="C15" s="119"/>
      <c r="D15" s="120"/>
      <c r="E15" s="23"/>
      <c r="F15" s="23"/>
      <c r="G15" s="23"/>
      <c r="H15" s="23"/>
      <c r="I15" s="23"/>
      <c r="J15" s="23"/>
      <c r="K15" s="23"/>
      <c r="L15" s="23"/>
    </row>
    <row r="16" spans="1:12" x14ac:dyDescent="0.25">
      <c r="A16" s="72" t="s">
        <v>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x14ac:dyDescent="0.25">
      <c r="A17" s="24" t="s">
        <v>263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x14ac:dyDescent="0.25">
      <c r="A18" s="24" t="s">
        <v>264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5">
      <c r="B19" s="24" t="s">
        <v>254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x14ac:dyDescent="0.25">
      <c r="A20" s="74"/>
      <c r="B20" s="121" t="s">
        <v>255</v>
      </c>
      <c r="C20" s="122"/>
      <c r="D20" s="122"/>
      <c r="E20" s="120"/>
      <c r="F20" s="23"/>
      <c r="G20" s="23"/>
      <c r="H20" s="23"/>
      <c r="I20" s="23"/>
      <c r="J20" s="23"/>
      <c r="K20" s="23"/>
      <c r="L20" s="23"/>
    </row>
    <row r="21" spans="1:12" x14ac:dyDescent="0.25">
      <c r="A21" s="75"/>
      <c r="B21" s="121" t="s">
        <v>256</v>
      </c>
      <c r="C21" s="122"/>
      <c r="D21" s="122"/>
      <c r="E21" s="120"/>
      <c r="F21" s="23"/>
      <c r="G21" s="23"/>
      <c r="H21" s="23"/>
      <c r="I21" s="23"/>
      <c r="J21" s="23"/>
      <c r="K21" s="23"/>
      <c r="L21" s="23"/>
    </row>
    <row r="22" spans="1:12" x14ac:dyDescent="0.25">
      <c r="A22" s="75"/>
      <c r="B22" s="121" t="s">
        <v>257</v>
      </c>
      <c r="C22" s="122"/>
      <c r="D22" s="122"/>
      <c r="E22" s="120"/>
      <c r="F22" s="23"/>
      <c r="G22" s="23"/>
      <c r="H22" s="23"/>
      <c r="I22" s="23"/>
      <c r="J22" s="23"/>
      <c r="K22" s="23"/>
      <c r="L22" s="23"/>
    </row>
    <row r="23" spans="1:12" x14ac:dyDescent="0.25">
      <c r="A23" s="24" t="s">
        <v>271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25">
      <c r="A24" s="24"/>
      <c r="B24" s="23" t="s">
        <v>261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x14ac:dyDescent="0.25">
      <c r="A25" s="74"/>
      <c r="B25" s="121" t="s">
        <v>266</v>
      </c>
      <c r="C25" s="122"/>
      <c r="D25" s="122"/>
      <c r="E25" s="120"/>
      <c r="F25" s="23"/>
      <c r="G25" s="23"/>
      <c r="H25" s="23"/>
      <c r="I25" s="23"/>
      <c r="J25" s="23"/>
      <c r="K25" s="23"/>
      <c r="L25" s="23"/>
    </row>
    <row r="26" spans="1:12" x14ac:dyDescent="0.25">
      <c r="A26" s="75"/>
      <c r="B26" s="121" t="s">
        <v>267</v>
      </c>
      <c r="C26" s="122"/>
      <c r="D26" s="122"/>
      <c r="E26" s="120"/>
      <c r="F26" s="23"/>
      <c r="G26" s="23"/>
      <c r="H26" s="23"/>
      <c r="I26" s="23"/>
      <c r="J26" s="23"/>
      <c r="K26" s="23"/>
      <c r="L26" s="23"/>
    </row>
    <row r="27" spans="1:12" x14ac:dyDescent="0.25">
      <c r="A27" s="75"/>
      <c r="B27" s="121" t="s">
        <v>268</v>
      </c>
      <c r="C27" s="122"/>
      <c r="D27" s="122"/>
      <c r="E27" s="120"/>
      <c r="F27" s="23"/>
      <c r="G27" s="23"/>
      <c r="H27" s="23"/>
      <c r="I27" s="23"/>
      <c r="J27" s="23"/>
      <c r="K27" s="23"/>
      <c r="L27" s="23"/>
    </row>
    <row r="28" spans="1:12" x14ac:dyDescent="0.25">
      <c r="B28" s="121" t="s">
        <v>265</v>
      </c>
      <c r="C28" s="119"/>
      <c r="D28" s="119"/>
      <c r="E28" s="123"/>
    </row>
    <row r="29" spans="1:12" x14ac:dyDescent="0.25">
      <c r="B29" s="121" t="s">
        <v>270</v>
      </c>
      <c r="C29" s="119"/>
      <c r="D29" s="119"/>
      <c r="E29" s="123"/>
    </row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BCFBA-9CFC-41C0-92AE-56CC07421266}">
  <sheetPr>
    <tabColor rgb="FFFF0000"/>
  </sheetPr>
  <dimension ref="A1:H7"/>
  <sheetViews>
    <sheetView zoomScale="205" zoomScaleNormal="205" workbookViewId="0">
      <selection activeCell="B4" sqref="B4"/>
    </sheetView>
  </sheetViews>
  <sheetFormatPr defaultRowHeight="15" x14ac:dyDescent="0.25"/>
  <cols>
    <col min="1" max="1" width="6.5703125" customWidth="1"/>
    <col min="2" max="2" width="25.140625" customWidth="1"/>
    <col min="3" max="3" width="15" customWidth="1"/>
    <col min="4" max="4" width="13.85546875" bestFit="1" customWidth="1"/>
    <col min="5" max="5" width="8.85546875" customWidth="1"/>
    <col min="6" max="7" width="11.28515625" customWidth="1"/>
    <col min="8" max="8" width="10.42578125" bestFit="1" customWidth="1"/>
  </cols>
  <sheetData>
    <row r="1" spans="1:8" x14ac:dyDescent="0.25">
      <c r="A1" s="41" t="s">
        <v>211</v>
      </c>
      <c r="B1" s="48" t="s">
        <v>215</v>
      </c>
      <c r="C1" s="42"/>
      <c r="D1" s="42"/>
      <c r="E1" s="42"/>
      <c r="F1" s="42"/>
      <c r="G1" s="42"/>
      <c r="H1" s="43"/>
    </row>
    <row r="2" spans="1:8" x14ac:dyDescent="0.25">
      <c r="B2" s="49" t="s">
        <v>269</v>
      </c>
      <c r="C2" s="46"/>
      <c r="D2" s="46"/>
      <c r="E2" s="46"/>
      <c r="F2" s="46"/>
      <c r="G2" s="46"/>
      <c r="H2" s="47"/>
    </row>
    <row r="3" spans="1:8" x14ac:dyDescent="0.25">
      <c r="B3" s="110" t="s">
        <v>213</v>
      </c>
      <c r="C3" s="111" t="s">
        <v>214</v>
      </c>
    </row>
    <row r="4" spans="1:8" x14ac:dyDescent="0.25">
      <c r="B4" s="50" t="s">
        <v>212</v>
      </c>
      <c r="C4" s="56">
        <v>3000</v>
      </c>
    </row>
    <row r="5" spans="1:8" x14ac:dyDescent="0.25">
      <c r="B5" s="50" t="str">
        <f>C3&amp;"'s Sales for month:"</f>
        <v>Sioux's Sales for month:</v>
      </c>
      <c r="C5" s="56">
        <v>25000</v>
      </c>
    </row>
    <row r="6" spans="1:8" x14ac:dyDescent="0.25">
      <c r="B6" s="51" t="s">
        <v>216</v>
      </c>
      <c r="C6" s="95">
        <v>1.4999999999999999E-2</v>
      </c>
    </row>
    <row r="7" spans="1:8" x14ac:dyDescent="0.25">
      <c r="B7" s="51" t="s">
        <v>110</v>
      </c>
      <c r="C7" s="57">
        <f>C4+C5*C6</f>
        <v>3375</v>
      </c>
      <c r="E7" t="str">
        <f ca="1">IF(_xlfn.ISFORMULA(C7),""&amp;_xlfn.FORMULATEXT(C7),"")</f>
        <v>=C4+C5*C6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06E61-FC39-4B00-8A48-633B00DFF940}">
  <sheetPr>
    <tabColor rgb="FF0000FF"/>
  </sheetPr>
  <dimension ref="A1:I47"/>
  <sheetViews>
    <sheetView zoomScale="130" zoomScaleNormal="130" workbookViewId="0">
      <selection activeCell="E16" sqref="E16"/>
    </sheetView>
  </sheetViews>
  <sheetFormatPr defaultRowHeight="15" x14ac:dyDescent="0.25"/>
  <cols>
    <col min="1" max="1" width="6.5703125" customWidth="1"/>
    <col min="2" max="2" width="11.7109375" customWidth="1"/>
    <col min="3" max="3" width="15.140625" bestFit="1" customWidth="1"/>
    <col min="4" max="4" width="12.85546875" customWidth="1"/>
    <col min="5" max="5" width="35.140625" customWidth="1"/>
    <col min="6" max="6" width="21.28515625" customWidth="1"/>
    <col min="7" max="7" width="2.28515625" customWidth="1"/>
    <col min="8" max="8" width="15.140625" bestFit="1" customWidth="1"/>
    <col min="9" max="9" width="17.140625" customWidth="1"/>
  </cols>
  <sheetData>
    <row r="1" spans="1:9" x14ac:dyDescent="0.25">
      <c r="A1" s="41" t="s">
        <v>236</v>
      </c>
      <c r="B1" s="48" t="s">
        <v>248</v>
      </c>
      <c r="C1" s="42"/>
      <c r="D1" s="42"/>
      <c r="E1" s="42"/>
      <c r="F1" s="42"/>
      <c r="G1" s="42"/>
      <c r="H1" s="42"/>
      <c r="I1" s="43"/>
    </row>
    <row r="2" spans="1:9" x14ac:dyDescent="0.25">
      <c r="A2" s="41"/>
      <c r="B2" s="117" t="s">
        <v>247</v>
      </c>
      <c r="C2" s="44"/>
      <c r="D2" s="44"/>
      <c r="E2" s="44"/>
      <c r="F2" s="44"/>
      <c r="G2" s="44"/>
      <c r="H2" s="44"/>
      <c r="I2" s="45"/>
    </row>
    <row r="3" spans="1:9" x14ac:dyDescent="0.25">
      <c r="A3" s="41"/>
      <c r="B3" s="49" t="s">
        <v>233</v>
      </c>
      <c r="C3" s="46"/>
      <c r="D3" s="46"/>
      <c r="E3" s="46"/>
      <c r="F3" s="46"/>
      <c r="G3" s="46"/>
      <c r="H3" s="46"/>
      <c r="I3" s="47"/>
    </row>
    <row r="5" spans="1:9" x14ac:dyDescent="0.25">
      <c r="B5" s="78" t="s">
        <v>199</v>
      </c>
    </row>
    <row r="6" spans="1:9" x14ac:dyDescent="0.25">
      <c r="B6" t="s">
        <v>200</v>
      </c>
    </row>
    <row r="7" spans="1:9" x14ac:dyDescent="0.25">
      <c r="B7" t="s">
        <v>229</v>
      </c>
    </row>
    <row r="8" spans="1:9" x14ac:dyDescent="0.25">
      <c r="B8" t="s">
        <v>230</v>
      </c>
    </row>
    <row r="9" spans="1:9" x14ac:dyDescent="0.25">
      <c r="B9" t="s">
        <v>231</v>
      </c>
    </row>
    <row r="10" spans="1:9" x14ac:dyDescent="0.25">
      <c r="B10" t="s">
        <v>232</v>
      </c>
    </row>
    <row r="12" spans="1:9" x14ac:dyDescent="0.25">
      <c r="E12" s="80" t="str">
        <f>"Formula is "&amp;ADDRESS(ROW(E16),COLUMN(E16),4)&amp;":"</f>
        <v>Formula is E16:</v>
      </c>
      <c r="F12" s="80" t="str">
        <f>"Formula is "&amp;ADDRESS(ROW(F16),COLUMN(F16),4)&amp;":"</f>
        <v>Formula is F16:</v>
      </c>
    </row>
    <row r="13" spans="1:9" x14ac:dyDescent="0.25">
      <c r="E13" t="str">
        <f ca="1">IF(_xlfn.ISFORMULA(E16),_xlfn.FORMULATEXT(E16),"")</f>
        <v/>
      </c>
      <c r="F13" t="str">
        <f ca="1">IF(_xlfn.ISFORMULA(F16),_xlfn.FORMULATEXT(F16),"")</f>
        <v/>
      </c>
    </row>
    <row r="15" spans="1:9" x14ac:dyDescent="0.25">
      <c r="B15" s="51" t="s">
        <v>227</v>
      </c>
      <c r="C15" s="51" t="s">
        <v>28</v>
      </c>
      <c r="D15" s="51" t="s">
        <v>228</v>
      </c>
      <c r="E15" s="51" t="s">
        <v>234</v>
      </c>
      <c r="F15" s="51" t="s">
        <v>235</v>
      </c>
      <c r="H15" s="79">
        <v>1</v>
      </c>
      <c r="I15" s="79">
        <v>2</v>
      </c>
    </row>
    <row r="16" spans="1:9" x14ac:dyDescent="0.25">
      <c r="B16" s="112">
        <f>"2/10/2018"+COUNTIFS($C$16:C16,C16)</f>
        <v>43142</v>
      </c>
      <c r="C16" s="40" t="s">
        <v>217</v>
      </c>
      <c r="D16" s="113">
        <v>8475.33</v>
      </c>
      <c r="E16" s="60"/>
      <c r="F16" s="60"/>
      <c r="H16" s="51" t="s">
        <v>28</v>
      </c>
      <c r="I16" s="51" t="s">
        <v>234</v>
      </c>
    </row>
    <row r="17" spans="2:9" x14ac:dyDescent="0.25">
      <c r="B17" s="112">
        <f>"2/10/2018"+COUNTIFS($C$16:C17,C17)</f>
        <v>43142</v>
      </c>
      <c r="C17" s="40" t="s">
        <v>218</v>
      </c>
      <c r="D17" s="113">
        <v>7813.4</v>
      </c>
      <c r="E17" s="60"/>
      <c r="F17" s="60"/>
      <c r="H17" s="40" t="s">
        <v>217</v>
      </c>
      <c r="I17" s="40">
        <v>3.2000000000000001E-2</v>
      </c>
    </row>
    <row r="18" spans="2:9" x14ac:dyDescent="0.25">
      <c r="B18" s="112">
        <f>"2/10/2018"+COUNTIFS($C$16:C18,C18)</f>
        <v>43142</v>
      </c>
      <c r="C18" s="40" t="s">
        <v>219</v>
      </c>
      <c r="D18" s="113">
        <v>9924.32</v>
      </c>
      <c r="E18" s="60"/>
      <c r="F18" s="60"/>
      <c r="H18" s="40" t="s">
        <v>218</v>
      </c>
      <c r="I18" s="40">
        <v>1.4E-2</v>
      </c>
    </row>
    <row r="19" spans="2:9" x14ac:dyDescent="0.25">
      <c r="B19" s="112">
        <f>"2/10/2018"+COUNTIFS($C$16:C19,C19)</f>
        <v>43142</v>
      </c>
      <c r="C19" s="40" t="s">
        <v>220</v>
      </c>
      <c r="D19" s="113">
        <v>11749.65</v>
      </c>
      <c r="E19" s="60"/>
      <c r="F19" s="60"/>
      <c r="H19" s="40" t="s">
        <v>219</v>
      </c>
      <c r="I19" s="40">
        <v>1.7000000000000001E-2</v>
      </c>
    </row>
    <row r="20" spans="2:9" x14ac:dyDescent="0.25">
      <c r="B20" s="112">
        <f>"2/10/2018"+COUNTIFS($C$16:C20,C20)</f>
        <v>43142</v>
      </c>
      <c r="C20" s="40" t="s">
        <v>221</v>
      </c>
      <c r="D20" s="113">
        <v>8996.44</v>
      </c>
      <c r="E20" s="60"/>
      <c r="F20" s="60"/>
      <c r="H20" s="40" t="s">
        <v>220</v>
      </c>
      <c r="I20" s="40">
        <v>1.6E-2</v>
      </c>
    </row>
    <row r="21" spans="2:9" x14ac:dyDescent="0.25">
      <c r="B21" s="112">
        <f>"2/10/2018"+COUNTIFS($C$16:C21,C21)</f>
        <v>43142</v>
      </c>
      <c r="C21" s="40" t="s">
        <v>222</v>
      </c>
      <c r="D21" s="113">
        <v>11466.98</v>
      </c>
      <c r="E21" s="60"/>
      <c r="F21" s="60"/>
      <c r="H21" s="40" t="s">
        <v>221</v>
      </c>
      <c r="I21" s="40">
        <v>1.2999999999999999E-2</v>
      </c>
    </row>
    <row r="22" spans="2:9" x14ac:dyDescent="0.25">
      <c r="B22" s="112">
        <f>"2/10/2018"+COUNTIFS($C$16:C22,C22)</f>
        <v>43142</v>
      </c>
      <c r="C22" s="40" t="s">
        <v>223</v>
      </c>
      <c r="D22" s="113">
        <v>9461.1200000000008</v>
      </c>
      <c r="E22" s="60"/>
      <c r="F22" s="60"/>
      <c r="H22" s="40" t="s">
        <v>222</v>
      </c>
      <c r="I22" s="40">
        <v>2.8000000000000001E-2</v>
      </c>
    </row>
    <row r="23" spans="2:9" x14ac:dyDescent="0.25">
      <c r="B23" s="112">
        <f>"2/10/2018"+COUNTIFS($C$16:C23,C23)</f>
        <v>43142</v>
      </c>
      <c r="C23" s="40" t="s">
        <v>224</v>
      </c>
      <c r="D23" s="113">
        <v>14438.89</v>
      </c>
      <c r="E23" s="60"/>
      <c r="F23" s="60"/>
      <c r="H23" s="40" t="s">
        <v>223</v>
      </c>
      <c r="I23" s="40">
        <v>1.4999999999999999E-2</v>
      </c>
    </row>
    <row r="24" spans="2:9" x14ac:dyDescent="0.25">
      <c r="B24" s="112">
        <f>"2/10/2018"+COUNTIFS($C$16:C24,C24)</f>
        <v>43142</v>
      </c>
      <c r="C24" s="40" t="s">
        <v>225</v>
      </c>
      <c r="D24" s="113">
        <v>8290.61</v>
      </c>
      <c r="E24" s="60"/>
      <c r="F24" s="60"/>
      <c r="H24" s="40" t="s">
        <v>224</v>
      </c>
      <c r="I24" s="40">
        <v>1.2999999999999999E-2</v>
      </c>
    </row>
    <row r="25" spans="2:9" x14ac:dyDescent="0.25">
      <c r="B25" s="112">
        <f>"2/10/2018"+COUNTIFS($C$16:C25,C25)</f>
        <v>43142</v>
      </c>
      <c r="C25" s="40" t="s">
        <v>226</v>
      </c>
      <c r="D25" s="113">
        <v>11235.01</v>
      </c>
      <c r="E25" s="60"/>
      <c r="F25" s="60"/>
      <c r="H25" s="40" t="s">
        <v>225</v>
      </c>
      <c r="I25" s="40">
        <v>3.5000000000000003E-2</v>
      </c>
    </row>
    <row r="26" spans="2:9" x14ac:dyDescent="0.25">
      <c r="B26" s="112">
        <f>"2/10/2018"+COUNTIFS($C$16:C26,C26)</f>
        <v>43143</v>
      </c>
      <c r="C26" s="40" t="s">
        <v>217</v>
      </c>
      <c r="D26" s="113">
        <v>13915.89</v>
      </c>
      <c r="E26" s="60"/>
      <c r="F26" s="60"/>
      <c r="H26" s="40" t="s">
        <v>226</v>
      </c>
      <c r="I26" s="40">
        <v>1.2999999999999999E-2</v>
      </c>
    </row>
    <row r="27" spans="2:9" x14ac:dyDescent="0.25">
      <c r="B27" s="112">
        <f>"2/10/2018"+COUNTIFS($C$16:C27,C27)</f>
        <v>43143</v>
      </c>
      <c r="C27" s="40" t="s">
        <v>218</v>
      </c>
      <c r="D27" s="113">
        <v>11397.23</v>
      </c>
      <c r="E27" s="60"/>
      <c r="F27" s="60"/>
    </row>
    <row r="28" spans="2:9" hidden="1" x14ac:dyDescent="0.25">
      <c r="B28" s="112">
        <f>"2/10/2018"+COUNTIFS($C$16:C28,C28)</f>
        <v>43143</v>
      </c>
      <c r="C28" s="40" t="s">
        <v>219</v>
      </c>
      <c r="D28" s="113">
        <v>10564.96</v>
      </c>
      <c r="E28" s="60"/>
      <c r="F28" s="60"/>
    </row>
    <row r="29" spans="2:9" hidden="1" x14ac:dyDescent="0.25">
      <c r="B29" s="112">
        <f>"2/10/2018"+COUNTIFS($C$16:C29,C29)</f>
        <v>43143</v>
      </c>
      <c r="C29" s="40" t="s">
        <v>220</v>
      </c>
      <c r="D29" s="113">
        <v>10177.39</v>
      </c>
      <c r="E29" s="60"/>
      <c r="F29" s="60"/>
    </row>
    <row r="30" spans="2:9" hidden="1" x14ac:dyDescent="0.25">
      <c r="B30" s="112">
        <f>"2/10/2018"+COUNTIFS($C$16:C30,C30)</f>
        <v>43143</v>
      </c>
      <c r="C30" s="40" t="s">
        <v>221</v>
      </c>
      <c r="D30" s="113">
        <v>14479.45</v>
      </c>
      <c r="E30" s="60"/>
      <c r="F30" s="60"/>
    </row>
    <row r="31" spans="2:9" hidden="1" x14ac:dyDescent="0.25">
      <c r="B31" s="112">
        <f>"2/10/2018"+COUNTIFS($C$16:C31,C31)</f>
        <v>43143</v>
      </c>
      <c r="C31" s="40" t="s">
        <v>222</v>
      </c>
      <c r="D31" s="113">
        <v>9826.7900000000009</v>
      </c>
      <c r="E31" s="60"/>
      <c r="F31" s="60"/>
    </row>
    <row r="32" spans="2:9" hidden="1" x14ac:dyDescent="0.25">
      <c r="B32" s="112">
        <f>"2/10/2018"+COUNTIFS($C$16:C32,C32)</f>
        <v>43143</v>
      </c>
      <c r="C32" s="40" t="s">
        <v>223</v>
      </c>
      <c r="D32" s="113">
        <v>11220.86</v>
      </c>
      <c r="E32" s="60"/>
      <c r="F32" s="60"/>
    </row>
    <row r="33" spans="2:6" hidden="1" x14ac:dyDescent="0.25">
      <c r="B33" s="112">
        <f>"2/10/2018"+COUNTIFS($C$16:C33,C33)</f>
        <v>43143</v>
      </c>
      <c r="C33" s="40" t="s">
        <v>224</v>
      </c>
      <c r="D33" s="113">
        <v>10624.29</v>
      </c>
      <c r="E33" s="60"/>
      <c r="F33" s="60"/>
    </row>
    <row r="34" spans="2:6" hidden="1" x14ac:dyDescent="0.25">
      <c r="B34" s="112">
        <f>"2/10/2018"+COUNTIFS($C$16:C34,C34)</f>
        <v>43143</v>
      </c>
      <c r="C34" s="40" t="s">
        <v>225</v>
      </c>
      <c r="D34" s="113">
        <v>13487.26</v>
      </c>
      <c r="E34" s="60"/>
      <c r="F34" s="60"/>
    </row>
    <row r="35" spans="2:6" hidden="1" x14ac:dyDescent="0.25">
      <c r="B35" s="112">
        <f>"2/10/2018"+COUNTIFS($C$16:C35,C35)</f>
        <v>43143</v>
      </c>
      <c r="C35" s="40" t="s">
        <v>226</v>
      </c>
      <c r="D35" s="113">
        <v>11654.8</v>
      </c>
      <c r="E35" s="60"/>
      <c r="F35" s="60"/>
    </row>
    <row r="36" spans="2:6" hidden="1" x14ac:dyDescent="0.25">
      <c r="B36" s="112">
        <f>"2/10/2018"+COUNTIFS($C$16:C36,C36)</f>
        <v>43144</v>
      </c>
      <c r="C36" s="40" t="s">
        <v>217</v>
      </c>
      <c r="D36" s="113">
        <v>9311.6200000000008</v>
      </c>
      <c r="E36" s="60"/>
      <c r="F36" s="60"/>
    </row>
    <row r="37" spans="2:6" hidden="1" x14ac:dyDescent="0.25">
      <c r="B37" s="112">
        <f>"2/10/2018"+COUNTIFS($C$16:C37,C37)</f>
        <v>43144</v>
      </c>
      <c r="C37" s="40" t="s">
        <v>218</v>
      </c>
      <c r="D37" s="113">
        <v>10664.44</v>
      </c>
      <c r="E37" s="60"/>
      <c r="F37" s="60"/>
    </row>
    <row r="38" spans="2:6" hidden="1" x14ac:dyDescent="0.25">
      <c r="B38" s="112">
        <f>"2/10/2018"+COUNTIFS($C$16:C38,C38)</f>
        <v>43144</v>
      </c>
      <c r="C38" s="40" t="s">
        <v>219</v>
      </c>
      <c r="D38" s="113">
        <v>13884.4</v>
      </c>
      <c r="E38" s="60"/>
      <c r="F38" s="60"/>
    </row>
    <row r="39" spans="2:6" hidden="1" x14ac:dyDescent="0.25">
      <c r="B39" s="112">
        <f>"2/10/2018"+COUNTIFS($C$16:C39,C39)</f>
        <v>43144</v>
      </c>
      <c r="C39" s="40" t="s">
        <v>220</v>
      </c>
      <c r="D39" s="113">
        <v>7795.75</v>
      </c>
      <c r="E39" s="60"/>
      <c r="F39" s="60"/>
    </row>
    <row r="40" spans="2:6" hidden="1" x14ac:dyDescent="0.25">
      <c r="B40" s="112">
        <f>"2/10/2018"+COUNTIFS($C$16:C40,C40)</f>
        <v>43144</v>
      </c>
      <c r="C40" s="40" t="s">
        <v>221</v>
      </c>
      <c r="D40" s="113">
        <v>11763.49</v>
      </c>
      <c r="E40" s="60"/>
      <c r="F40" s="60"/>
    </row>
    <row r="41" spans="2:6" hidden="1" x14ac:dyDescent="0.25">
      <c r="B41" s="112">
        <f>"2/10/2018"+COUNTIFS($C$16:C41,C41)</f>
        <v>43144</v>
      </c>
      <c r="C41" s="40" t="s">
        <v>222</v>
      </c>
      <c r="D41" s="113">
        <v>14432.12</v>
      </c>
      <c r="E41" s="60"/>
      <c r="F41" s="60"/>
    </row>
    <row r="42" spans="2:6" hidden="1" x14ac:dyDescent="0.25">
      <c r="B42" s="112">
        <f>"2/10/2018"+COUNTIFS($C$16:C42,C42)</f>
        <v>43144</v>
      </c>
      <c r="C42" s="40" t="s">
        <v>223</v>
      </c>
      <c r="D42" s="113">
        <v>11661.87</v>
      </c>
      <c r="E42" s="60"/>
      <c r="F42" s="60"/>
    </row>
    <row r="43" spans="2:6" hidden="1" x14ac:dyDescent="0.25">
      <c r="B43" s="112">
        <f>"2/10/2018"+COUNTIFS($C$16:C43,C43)</f>
        <v>43144</v>
      </c>
      <c r="C43" s="40" t="s">
        <v>224</v>
      </c>
      <c r="D43" s="113">
        <v>8487.56</v>
      </c>
      <c r="E43" s="60"/>
      <c r="F43" s="60"/>
    </row>
    <row r="44" spans="2:6" hidden="1" x14ac:dyDescent="0.25">
      <c r="B44" s="112">
        <f>"2/10/2018"+COUNTIFS($C$16:C44,C44)</f>
        <v>43144</v>
      </c>
      <c r="C44" s="40" t="s">
        <v>225</v>
      </c>
      <c r="D44" s="113">
        <v>5897.22</v>
      </c>
      <c r="E44" s="60"/>
      <c r="F44" s="60"/>
    </row>
    <row r="45" spans="2:6" x14ac:dyDescent="0.25">
      <c r="B45" s="112">
        <f>"2/10/2018"+COUNTIFS($C$16:C45,C45)</f>
        <v>43144</v>
      </c>
      <c r="C45" s="40" t="s">
        <v>226</v>
      </c>
      <c r="D45" s="113">
        <v>11200.01</v>
      </c>
      <c r="E45" s="60"/>
      <c r="F45" s="60"/>
    </row>
    <row r="47" spans="2:6" x14ac:dyDescent="0.25">
      <c r="E47" s="64" t="s">
        <v>108</v>
      </c>
      <c r="F47" s="67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BCBCE-B3FF-4A9A-A697-3D297F965EB9}">
  <sheetPr>
    <tabColor rgb="FFFF0000"/>
  </sheetPr>
  <dimension ref="A1:I47"/>
  <sheetViews>
    <sheetView zoomScale="130" zoomScaleNormal="130" workbookViewId="0">
      <selection activeCell="F47" sqref="F47"/>
    </sheetView>
  </sheetViews>
  <sheetFormatPr defaultRowHeight="15" x14ac:dyDescent="0.25"/>
  <cols>
    <col min="1" max="1" width="6.5703125" customWidth="1"/>
    <col min="2" max="2" width="11.7109375" customWidth="1"/>
    <col min="3" max="3" width="15.140625" bestFit="1" customWidth="1"/>
    <col min="4" max="4" width="12.85546875" customWidth="1"/>
    <col min="5" max="5" width="35.140625" customWidth="1"/>
    <col min="6" max="6" width="21.28515625" customWidth="1"/>
    <col min="7" max="7" width="2.28515625" customWidth="1"/>
    <col min="8" max="8" width="15.140625" bestFit="1" customWidth="1"/>
    <col min="9" max="9" width="15" bestFit="1" customWidth="1"/>
  </cols>
  <sheetData>
    <row r="1" spans="1:9" x14ac:dyDescent="0.25">
      <c r="A1" s="41" t="s">
        <v>236</v>
      </c>
      <c r="B1" s="48" t="s">
        <v>248</v>
      </c>
      <c r="C1" s="42"/>
      <c r="D1" s="42"/>
      <c r="E1" s="42"/>
      <c r="F1" s="42"/>
      <c r="G1" s="42"/>
      <c r="H1" s="42"/>
      <c r="I1" s="43"/>
    </row>
    <row r="2" spans="1:9" x14ac:dyDescent="0.25">
      <c r="A2" s="41"/>
      <c r="B2" s="117" t="s">
        <v>247</v>
      </c>
      <c r="C2" s="44"/>
      <c r="D2" s="44"/>
      <c r="E2" s="44"/>
      <c r="F2" s="44"/>
      <c r="G2" s="44"/>
      <c r="H2" s="44"/>
      <c r="I2" s="45"/>
    </row>
    <row r="3" spans="1:9" x14ac:dyDescent="0.25">
      <c r="A3" s="41"/>
      <c r="B3" s="49" t="s">
        <v>233</v>
      </c>
      <c r="C3" s="46"/>
      <c r="D3" s="46"/>
      <c r="E3" s="46"/>
      <c r="F3" s="46"/>
      <c r="G3" s="46"/>
      <c r="H3" s="46"/>
      <c r="I3" s="47"/>
    </row>
    <row r="5" spans="1:9" x14ac:dyDescent="0.25">
      <c r="B5" s="78" t="s">
        <v>199</v>
      </c>
    </row>
    <row r="6" spans="1:9" x14ac:dyDescent="0.25">
      <c r="B6" t="s">
        <v>200</v>
      </c>
    </row>
    <row r="7" spans="1:9" x14ac:dyDescent="0.25">
      <c r="B7" t="s">
        <v>229</v>
      </c>
    </row>
    <row r="8" spans="1:9" x14ac:dyDescent="0.25">
      <c r="B8" t="s">
        <v>230</v>
      </c>
    </row>
    <row r="9" spans="1:9" x14ac:dyDescent="0.25">
      <c r="B9" t="s">
        <v>231</v>
      </c>
    </row>
    <row r="10" spans="1:9" x14ac:dyDescent="0.25">
      <c r="B10" t="s">
        <v>232</v>
      </c>
    </row>
    <row r="12" spans="1:9" x14ac:dyDescent="0.25">
      <c r="E12" s="80" t="str">
        <f>"Formula is "&amp;ADDRESS(ROW(E16),COLUMN(E16),4)&amp;":"</f>
        <v>Formula is E16:</v>
      </c>
      <c r="F12" s="80" t="str">
        <f>"Formula is "&amp;ADDRESS(ROW(F16),COLUMN(F16),4)&amp;":"</f>
        <v>Formula is F16:</v>
      </c>
    </row>
    <row r="13" spans="1:9" x14ac:dyDescent="0.25">
      <c r="E13" t="str">
        <f ca="1">IF(_xlfn.ISFORMULA(E16),_xlfn.FORMULATEXT(E16),"")</f>
        <v>=VLOOKUP(C16,$H$17:$I$26,2,FALSE)</v>
      </c>
      <c r="F13" t="str">
        <f ca="1">IF(_xlfn.ISFORMULA(F16),_xlfn.FORMULATEXT(F16),"")</f>
        <v>=ROUND(D16*E16,2)</v>
      </c>
    </row>
    <row r="15" spans="1:9" x14ac:dyDescent="0.25">
      <c r="B15" s="51" t="s">
        <v>227</v>
      </c>
      <c r="C15" s="51" t="s">
        <v>28</v>
      </c>
      <c r="D15" s="51" t="s">
        <v>228</v>
      </c>
      <c r="E15" s="51" t="s">
        <v>234</v>
      </c>
      <c r="F15" s="51" t="s">
        <v>235</v>
      </c>
      <c r="H15" s="79">
        <v>1</v>
      </c>
      <c r="I15" s="79">
        <v>2</v>
      </c>
    </row>
    <row r="16" spans="1:9" x14ac:dyDescent="0.25">
      <c r="B16" s="112">
        <f>"2/10/2018"+COUNTIFS($C$16:C16,C16)</f>
        <v>43142</v>
      </c>
      <c r="C16" s="40" t="s">
        <v>217</v>
      </c>
      <c r="D16" s="113">
        <v>8475.33</v>
      </c>
      <c r="E16" s="60">
        <f t="shared" ref="E16:E45" si="0">VLOOKUP(C16,$H$17:$I$26,2,FALSE)</f>
        <v>3.2000000000000001E-2</v>
      </c>
      <c r="F16" s="60">
        <f>ROUND(D16*E16,2)</f>
        <v>271.20999999999998</v>
      </c>
      <c r="H16" s="51" t="s">
        <v>28</v>
      </c>
      <c r="I16" s="51" t="s">
        <v>234</v>
      </c>
    </row>
    <row r="17" spans="2:9" x14ac:dyDescent="0.25">
      <c r="B17" s="112">
        <f>"2/10/2018"+COUNTIFS($C$16:C17,C17)</f>
        <v>43142</v>
      </c>
      <c r="C17" s="40" t="s">
        <v>218</v>
      </c>
      <c r="D17" s="113">
        <v>7813.4</v>
      </c>
      <c r="E17" s="60">
        <f t="shared" si="0"/>
        <v>1.4E-2</v>
      </c>
      <c r="F17" s="60">
        <f t="shared" ref="F17:F45" si="1">ROUND(D17*E17,2)</f>
        <v>109.39</v>
      </c>
      <c r="H17" s="40" t="s">
        <v>217</v>
      </c>
      <c r="I17" s="40">
        <v>3.2000000000000001E-2</v>
      </c>
    </row>
    <row r="18" spans="2:9" x14ac:dyDescent="0.25">
      <c r="B18" s="112">
        <f>"2/10/2018"+COUNTIFS($C$16:C18,C18)</f>
        <v>43142</v>
      </c>
      <c r="C18" s="40" t="s">
        <v>219</v>
      </c>
      <c r="D18" s="113">
        <v>9924.32</v>
      </c>
      <c r="E18" s="60">
        <f t="shared" si="0"/>
        <v>1.7000000000000001E-2</v>
      </c>
      <c r="F18" s="60">
        <f t="shared" si="1"/>
        <v>168.71</v>
      </c>
      <c r="H18" s="40" t="s">
        <v>218</v>
      </c>
      <c r="I18" s="40">
        <v>1.4E-2</v>
      </c>
    </row>
    <row r="19" spans="2:9" x14ac:dyDescent="0.25">
      <c r="B19" s="112">
        <f>"2/10/2018"+COUNTIFS($C$16:C19,C19)</f>
        <v>43142</v>
      </c>
      <c r="C19" s="40" t="s">
        <v>220</v>
      </c>
      <c r="D19" s="113">
        <v>11749.65</v>
      </c>
      <c r="E19" s="60">
        <f t="shared" si="0"/>
        <v>1.6E-2</v>
      </c>
      <c r="F19" s="60">
        <f t="shared" si="1"/>
        <v>187.99</v>
      </c>
      <c r="H19" s="40" t="s">
        <v>219</v>
      </c>
      <c r="I19" s="40">
        <v>1.7000000000000001E-2</v>
      </c>
    </row>
    <row r="20" spans="2:9" x14ac:dyDescent="0.25">
      <c r="B20" s="112">
        <f>"2/10/2018"+COUNTIFS($C$16:C20,C20)</f>
        <v>43142</v>
      </c>
      <c r="C20" s="40" t="s">
        <v>221</v>
      </c>
      <c r="D20" s="113">
        <v>8996.44</v>
      </c>
      <c r="E20" s="60">
        <f t="shared" si="0"/>
        <v>1.2999999999999999E-2</v>
      </c>
      <c r="F20" s="60">
        <f t="shared" si="1"/>
        <v>116.95</v>
      </c>
      <c r="H20" s="40" t="s">
        <v>220</v>
      </c>
      <c r="I20" s="40">
        <v>1.6E-2</v>
      </c>
    </row>
    <row r="21" spans="2:9" x14ac:dyDescent="0.25">
      <c r="B21" s="112">
        <f>"2/10/2018"+COUNTIFS($C$16:C21,C21)</f>
        <v>43142</v>
      </c>
      <c r="C21" s="40" t="s">
        <v>222</v>
      </c>
      <c r="D21" s="113">
        <v>11466.98</v>
      </c>
      <c r="E21" s="60">
        <f t="shared" si="0"/>
        <v>2.8000000000000001E-2</v>
      </c>
      <c r="F21" s="60">
        <f t="shared" si="1"/>
        <v>321.08</v>
      </c>
      <c r="H21" s="40" t="s">
        <v>221</v>
      </c>
      <c r="I21" s="40">
        <v>1.2999999999999999E-2</v>
      </c>
    </row>
    <row r="22" spans="2:9" x14ac:dyDescent="0.25">
      <c r="B22" s="112">
        <f>"2/10/2018"+COUNTIFS($C$16:C22,C22)</f>
        <v>43142</v>
      </c>
      <c r="C22" s="40" t="s">
        <v>223</v>
      </c>
      <c r="D22" s="113">
        <v>9461.1200000000008</v>
      </c>
      <c r="E22" s="60">
        <f t="shared" si="0"/>
        <v>1.4999999999999999E-2</v>
      </c>
      <c r="F22" s="60">
        <f t="shared" si="1"/>
        <v>141.91999999999999</v>
      </c>
      <c r="H22" s="40" t="s">
        <v>222</v>
      </c>
      <c r="I22" s="40">
        <v>2.8000000000000001E-2</v>
      </c>
    </row>
    <row r="23" spans="2:9" x14ac:dyDescent="0.25">
      <c r="B23" s="112">
        <f>"2/10/2018"+COUNTIFS($C$16:C23,C23)</f>
        <v>43142</v>
      </c>
      <c r="C23" s="40" t="s">
        <v>224</v>
      </c>
      <c r="D23" s="113">
        <v>14438.89</v>
      </c>
      <c r="E23" s="60">
        <f t="shared" si="0"/>
        <v>1.2999999999999999E-2</v>
      </c>
      <c r="F23" s="60">
        <f t="shared" si="1"/>
        <v>187.71</v>
      </c>
      <c r="H23" s="40" t="s">
        <v>223</v>
      </c>
      <c r="I23" s="40">
        <v>1.4999999999999999E-2</v>
      </c>
    </row>
    <row r="24" spans="2:9" x14ac:dyDescent="0.25">
      <c r="B24" s="112">
        <f>"2/10/2018"+COUNTIFS($C$16:C24,C24)</f>
        <v>43142</v>
      </c>
      <c r="C24" s="40" t="s">
        <v>225</v>
      </c>
      <c r="D24" s="113">
        <v>8290.61</v>
      </c>
      <c r="E24" s="60">
        <f t="shared" si="0"/>
        <v>3.5000000000000003E-2</v>
      </c>
      <c r="F24" s="60">
        <f t="shared" si="1"/>
        <v>290.17</v>
      </c>
      <c r="H24" s="40" t="s">
        <v>224</v>
      </c>
      <c r="I24" s="40">
        <v>1.2999999999999999E-2</v>
      </c>
    </row>
    <row r="25" spans="2:9" x14ac:dyDescent="0.25">
      <c r="B25" s="112">
        <f>"2/10/2018"+COUNTIFS($C$16:C25,C25)</f>
        <v>43142</v>
      </c>
      <c r="C25" s="40" t="s">
        <v>226</v>
      </c>
      <c r="D25" s="113">
        <v>11235.01</v>
      </c>
      <c r="E25" s="60">
        <f t="shared" si="0"/>
        <v>1.2999999999999999E-2</v>
      </c>
      <c r="F25" s="60">
        <f t="shared" si="1"/>
        <v>146.06</v>
      </c>
      <c r="H25" s="40" t="s">
        <v>225</v>
      </c>
      <c r="I25" s="40">
        <v>3.5000000000000003E-2</v>
      </c>
    </row>
    <row r="26" spans="2:9" x14ac:dyDescent="0.25">
      <c r="B26" s="112">
        <f>"2/10/2018"+COUNTIFS($C$16:C26,C26)</f>
        <v>43143</v>
      </c>
      <c r="C26" s="40" t="s">
        <v>217</v>
      </c>
      <c r="D26" s="113">
        <v>13915.89</v>
      </c>
      <c r="E26" s="60">
        <f t="shared" si="0"/>
        <v>3.2000000000000001E-2</v>
      </c>
      <c r="F26" s="60">
        <f t="shared" si="1"/>
        <v>445.31</v>
      </c>
      <c r="H26" s="40" t="s">
        <v>226</v>
      </c>
      <c r="I26" s="40">
        <v>1.2999999999999999E-2</v>
      </c>
    </row>
    <row r="27" spans="2:9" x14ac:dyDescent="0.25">
      <c r="B27" s="112">
        <f>"2/10/2018"+COUNTIFS($C$16:C27,C27)</f>
        <v>43143</v>
      </c>
      <c r="C27" s="40" t="s">
        <v>218</v>
      </c>
      <c r="D27" s="113">
        <v>11397.23</v>
      </c>
      <c r="E27" s="60">
        <f t="shared" si="0"/>
        <v>1.4E-2</v>
      </c>
      <c r="F27" s="60">
        <f t="shared" si="1"/>
        <v>159.56</v>
      </c>
    </row>
    <row r="28" spans="2:9" hidden="1" x14ac:dyDescent="0.25">
      <c r="B28" s="112">
        <f>"2/10/2018"+COUNTIFS($C$16:C28,C28)</f>
        <v>43143</v>
      </c>
      <c r="C28" s="40" t="s">
        <v>219</v>
      </c>
      <c r="D28" s="113">
        <v>10564.96</v>
      </c>
      <c r="E28" s="60">
        <f t="shared" si="0"/>
        <v>1.7000000000000001E-2</v>
      </c>
      <c r="F28" s="60">
        <f t="shared" si="1"/>
        <v>179.6</v>
      </c>
    </row>
    <row r="29" spans="2:9" hidden="1" x14ac:dyDescent="0.25">
      <c r="B29" s="112">
        <f>"2/10/2018"+COUNTIFS($C$16:C29,C29)</f>
        <v>43143</v>
      </c>
      <c r="C29" s="40" t="s">
        <v>220</v>
      </c>
      <c r="D29" s="113">
        <v>10177.39</v>
      </c>
      <c r="E29" s="60">
        <f t="shared" si="0"/>
        <v>1.6E-2</v>
      </c>
      <c r="F29" s="60">
        <f t="shared" si="1"/>
        <v>162.84</v>
      </c>
    </row>
    <row r="30" spans="2:9" hidden="1" x14ac:dyDescent="0.25">
      <c r="B30" s="112">
        <f>"2/10/2018"+COUNTIFS($C$16:C30,C30)</f>
        <v>43143</v>
      </c>
      <c r="C30" s="40" t="s">
        <v>221</v>
      </c>
      <c r="D30" s="113">
        <v>14479.45</v>
      </c>
      <c r="E30" s="60">
        <f t="shared" si="0"/>
        <v>1.2999999999999999E-2</v>
      </c>
      <c r="F30" s="60">
        <f t="shared" si="1"/>
        <v>188.23</v>
      </c>
    </row>
    <row r="31" spans="2:9" hidden="1" x14ac:dyDescent="0.25">
      <c r="B31" s="112">
        <f>"2/10/2018"+COUNTIFS($C$16:C31,C31)</f>
        <v>43143</v>
      </c>
      <c r="C31" s="40" t="s">
        <v>222</v>
      </c>
      <c r="D31" s="113">
        <v>9826.7900000000009</v>
      </c>
      <c r="E31" s="60">
        <f t="shared" si="0"/>
        <v>2.8000000000000001E-2</v>
      </c>
      <c r="F31" s="60">
        <f t="shared" si="1"/>
        <v>275.14999999999998</v>
      </c>
    </row>
    <row r="32" spans="2:9" hidden="1" x14ac:dyDescent="0.25">
      <c r="B32" s="112">
        <f>"2/10/2018"+COUNTIFS($C$16:C32,C32)</f>
        <v>43143</v>
      </c>
      <c r="C32" s="40" t="s">
        <v>223</v>
      </c>
      <c r="D32" s="113">
        <v>11220.86</v>
      </c>
      <c r="E32" s="60">
        <f t="shared" si="0"/>
        <v>1.4999999999999999E-2</v>
      </c>
      <c r="F32" s="60">
        <f t="shared" si="1"/>
        <v>168.31</v>
      </c>
    </row>
    <row r="33" spans="2:6" hidden="1" x14ac:dyDescent="0.25">
      <c r="B33" s="112">
        <f>"2/10/2018"+COUNTIFS($C$16:C33,C33)</f>
        <v>43143</v>
      </c>
      <c r="C33" s="40" t="s">
        <v>224</v>
      </c>
      <c r="D33" s="113">
        <v>10624.29</v>
      </c>
      <c r="E33" s="60">
        <f t="shared" si="0"/>
        <v>1.2999999999999999E-2</v>
      </c>
      <c r="F33" s="60">
        <f t="shared" si="1"/>
        <v>138.12</v>
      </c>
    </row>
    <row r="34" spans="2:6" hidden="1" x14ac:dyDescent="0.25">
      <c r="B34" s="112">
        <f>"2/10/2018"+COUNTIFS($C$16:C34,C34)</f>
        <v>43143</v>
      </c>
      <c r="C34" s="40" t="s">
        <v>225</v>
      </c>
      <c r="D34" s="113">
        <v>13487.26</v>
      </c>
      <c r="E34" s="60">
        <f t="shared" si="0"/>
        <v>3.5000000000000003E-2</v>
      </c>
      <c r="F34" s="60">
        <f t="shared" si="1"/>
        <v>472.05</v>
      </c>
    </row>
    <row r="35" spans="2:6" hidden="1" x14ac:dyDescent="0.25">
      <c r="B35" s="112">
        <f>"2/10/2018"+COUNTIFS($C$16:C35,C35)</f>
        <v>43143</v>
      </c>
      <c r="C35" s="40" t="s">
        <v>226</v>
      </c>
      <c r="D35" s="113">
        <v>11654.8</v>
      </c>
      <c r="E35" s="60">
        <f t="shared" si="0"/>
        <v>1.2999999999999999E-2</v>
      </c>
      <c r="F35" s="60">
        <f t="shared" si="1"/>
        <v>151.51</v>
      </c>
    </row>
    <row r="36" spans="2:6" hidden="1" x14ac:dyDescent="0.25">
      <c r="B36" s="112">
        <f>"2/10/2018"+COUNTIFS($C$16:C36,C36)</f>
        <v>43144</v>
      </c>
      <c r="C36" s="40" t="s">
        <v>217</v>
      </c>
      <c r="D36" s="113">
        <v>9311.6200000000008</v>
      </c>
      <c r="E36" s="60">
        <f t="shared" si="0"/>
        <v>3.2000000000000001E-2</v>
      </c>
      <c r="F36" s="60">
        <f t="shared" si="1"/>
        <v>297.97000000000003</v>
      </c>
    </row>
    <row r="37" spans="2:6" hidden="1" x14ac:dyDescent="0.25">
      <c r="B37" s="112">
        <f>"2/10/2018"+COUNTIFS($C$16:C37,C37)</f>
        <v>43144</v>
      </c>
      <c r="C37" s="40" t="s">
        <v>218</v>
      </c>
      <c r="D37" s="113">
        <v>10664.44</v>
      </c>
      <c r="E37" s="60">
        <f t="shared" si="0"/>
        <v>1.4E-2</v>
      </c>
      <c r="F37" s="60">
        <f t="shared" si="1"/>
        <v>149.30000000000001</v>
      </c>
    </row>
    <row r="38" spans="2:6" hidden="1" x14ac:dyDescent="0.25">
      <c r="B38" s="112">
        <f>"2/10/2018"+COUNTIFS($C$16:C38,C38)</f>
        <v>43144</v>
      </c>
      <c r="C38" s="40" t="s">
        <v>219</v>
      </c>
      <c r="D38" s="113">
        <v>13884.4</v>
      </c>
      <c r="E38" s="60">
        <f t="shared" si="0"/>
        <v>1.7000000000000001E-2</v>
      </c>
      <c r="F38" s="60">
        <f t="shared" si="1"/>
        <v>236.03</v>
      </c>
    </row>
    <row r="39" spans="2:6" hidden="1" x14ac:dyDescent="0.25">
      <c r="B39" s="112">
        <f>"2/10/2018"+COUNTIFS($C$16:C39,C39)</f>
        <v>43144</v>
      </c>
      <c r="C39" s="40" t="s">
        <v>220</v>
      </c>
      <c r="D39" s="113">
        <v>7795.75</v>
      </c>
      <c r="E39" s="60">
        <f t="shared" si="0"/>
        <v>1.6E-2</v>
      </c>
      <c r="F39" s="60">
        <f t="shared" si="1"/>
        <v>124.73</v>
      </c>
    </row>
    <row r="40" spans="2:6" hidden="1" x14ac:dyDescent="0.25">
      <c r="B40" s="112">
        <f>"2/10/2018"+COUNTIFS($C$16:C40,C40)</f>
        <v>43144</v>
      </c>
      <c r="C40" s="40" t="s">
        <v>221</v>
      </c>
      <c r="D40" s="113">
        <v>11763.49</v>
      </c>
      <c r="E40" s="60">
        <f t="shared" si="0"/>
        <v>1.2999999999999999E-2</v>
      </c>
      <c r="F40" s="60">
        <f t="shared" si="1"/>
        <v>152.93</v>
      </c>
    </row>
    <row r="41" spans="2:6" hidden="1" x14ac:dyDescent="0.25">
      <c r="B41" s="112">
        <f>"2/10/2018"+COUNTIFS($C$16:C41,C41)</f>
        <v>43144</v>
      </c>
      <c r="C41" s="40" t="s">
        <v>222</v>
      </c>
      <c r="D41" s="113">
        <v>14432.12</v>
      </c>
      <c r="E41" s="60">
        <f t="shared" si="0"/>
        <v>2.8000000000000001E-2</v>
      </c>
      <c r="F41" s="60">
        <f t="shared" si="1"/>
        <v>404.1</v>
      </c>
    </row>
    <row r="42" spans="2:6" hidden="1" x14ac:dyDescent="0.25">
      <c r="B42" s="112">
        <f>"2/10/2018"+COUNTIFS($C$16:C42,C42)</f>
        <v>43144</v>
      </c>
      <c r="C42" s="40" t="s">
        <v>223</v>
      </c>
      <c r="D42" s="113">
        <v>11661.87</v>
      </c>
      <c r="E42" s="60">
        <f t="shared" si="0"/>
        <v>1.4999999999999999E-2</v>
      </c>
      <c r="F42" s="60">
        <f t="shared" si="1"/>
        <v>174.93</v>
      </c>
    </row>
    <row r="43" spans="2:6" hidden="1" x14ac:dyDescent="0.25">
      <c r="B43" s="112">
        <f>"2/10/2018"+COUNTIFS($C$16:C43,C43)</f>
        <v>43144</v>
      </c>
      <c r="C43" s="40" t="s">
        <v>224</v>
      </c>
      <c r="D43" s="113">
        <v>8487.56</v>
      </c>
      <c r="E43" s="60">
        <f t="shared" si="0"/>
        <v>1.2999999999999999E-2</v>
      </c>
      <c r="F43" s="60">
        <f t="shared" si="1"/>
        <v>110.34</v>
      </c>
    </row>
    <row r="44" spans="2:6" hidden="1" x14ac:dyDescent="0.25">
      <c r="B44" s="112">
        <f>"2/10/2018"+COUNTIFS($C$16:C44,C44)</f>
        <v>43144</v>
      </c>
      <c r="C44" s="40" t="s">
        <v>225</v>
      </c>
      <c r="D44" s="113">
        <v>5897.22</v>
      </c>
      <c r="E44" s="60">
        <f t="shared" si="0"/>
        <v>3.5000000000000003E-2</v>
      </c>
      <c r="F44" s="60">
        <f t="shared" si="1"/>
        <v>206.4</v>
      </c>
    </row>
    <row r="45" spans="2:6" x14ac:dyDescent="0.25">
      <c r="B45" s="112">
        <f>"2/10/2018"+COUNTIFS($C$16:C45,C45)</f>
        <v>43144</v>
      </c>
      <c r="C45" s="40" t="s">
        <v>226</v>
      </c>
      <c r="D45" s="113">
        <v>11200.01</v>
      </c>
      <c r="E45" s="60">
        <f t="shared" si="0"/>
        <v>1.2999999999999999E-2</v>
      </c>
      <c r="F45" s="60">
        <f t="shared" si="1"/>
        <v>145.6</v>
      </c>
    </row>
    <row r="47" spans="2:6" x14ac:dyDescent="0.25">
      <c r="E47" s="64" t="s">
        <v>108</v>
      </c>
      <c r="F47" s="67">
        <f>SUM(F16:F45)</f>
        <v>6284.2000000000007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94E8-50B5-42EB-AED1-6EC8FF8D6631}">
  <sheetPr>
    <tabColor rgb="FF0000FF"/>
  </sheetPr>
  <dimension ref="A1:I36"/>
  <sheetViews>
    <sheetView zoomScaleNormal="100" workbookViewId="0">
      <selection activeCell="B15" sqref="B15"/>
    </sheetView>
  </sheetViews>
  <sheetFormatPr defaultRowHeight="15" x14ac:dyDescent="0.25"/>
  <cols>
    <col min="1" max="1" width="6.5703125" customWidth="1"/>
    <col min="2" max="3" width="18.7109375" customWidth="1"/>
    <col min="4" max="5" width="28.5703125" bestFit="1" customWidth="1"/>
    <col min="6" max="6" width="28.7109375" bestFit="1" customWidth="1"/>
    <col min="7" max="7" width="19" bestFit="1" customWidth="1"/>
    <col min="8" max="9" width="11.7109375" customWidth="1"/>
  </cols>
  <sheetData>
    <row r="1" spans="1:7" x14ac:dyDescent="0.25">
      <c r="A1" s="41" t="s">
        <v>258</v>
      </c>
      <c r="B1" s="114" t="s">
        <v>251</v>
      </c>
      <c r="C1" s="42"/>
      <c r="D1" s="42"/>
      <c r="E1" s="42"/>
      <c r="F1" s="42"/>
      <c r="G1" s="43"/>
    </row>
    <row r="2" spans="1:7" x14ac:dyDescent="0.25">
      <c r="B2" s="62" t="s">
        <v>237</v>
      </c>
      <c r="C2" s="44"/>
      <c r="D2" s="44"/>
      <c r="E2" s="44"/>
      <c r="F2" s="44"/>
      <c r="G2" s="45"/>
    </row>
    <row r="3" spans="1:7" x14ac:dyDescent="0.25">
      <c r="B3" s="115" t="s">
        <v>434</v>
      </c>
      <c r="C3" s="44"/>
      <c r="D3" s="44"/>
      <c r="E3" s="44"/>
      <c r="F3" s="44"/>
      <c r="G3" s="45"/>
    </row>
    <row r="4" spans="1:7" x14ac:dyDescent="0.25">
      <c r="B4" s="115" t="s">
        <v>435</v>
      </c>
      <c r="C4" s="44"/>
      <c r="D4" s="44"/>
      <c r="E4" s="44"/>
      <c r="F4" s="44"/>
      <c r="G4" s="45"/>
    </row>
    <row r="5" spans="1:7" x14ac:dyDescent="0.25">
      <c r="B5" s="115" t="s">
        <v>436</v>
      </c>
      <c r="C5" s="44"/>
      <c r="D5" s="44"/>
      <c r="E5" s="44"/>
      <c r="F5" s="44"/>
      <c r="G5" s="45"/>
    </row>
    <row r="6" spans="1:7" x14ac:dyDescent="0.25">
      <c r="B6" s="115" t="s">
        <v>437</v>
      </c>
      <c r="C6" s="44"/>
      <c r="D6" s="44"/>
      <c r="E6" s="44"/>
      <c r="F6" s="44"/>
      <c r="G6" s="45"/>
    </row>
    <row r="7" spans="1:7" x14ac:dyDescent="0.25">
      <c r="B7" s="115" t="s">
        <v>438</v>
      </c>
      <c r="C7" s="44"/>
      <c r="D7" s="44"/>
      <c r="E7" s="44"/>
      <c r="F7" s="44"/>
      <c r="G7" s="45"/>
    </row>
    <row r="8" spans="1:7" x14ac:dyDescent="0.25">
      <c r="B8" s="115" t="s">
        <v>439</v>
      </c>
      <c r="C8" s="44"/>
      <c r="D8" s="44"/>
      <c r="E8" s="44"/>
      <c r="F8" s="44"/>
      <c r="G8" s="45"/>
    </row>
    <row r="9" spans="1:7" x14ac:dyDescent="0.25">
      <c r="B9" s="49"/>
      <c r="C9" s="46"/>
      <c r="D9" s="46"/>
      <c r="E9" s="46"/>
      <c r="F9" s="46"/>
      <c r="G9" s="47"/>
    </row>
    <row r="26" spans="2:9" x14ac:dyDescent="0.25">
      <c r="B26" s="64" t="s">
        <v>28</v>
      </c>
      <c r="C26" s="64" t="s">
        <v>228</v>
      </c>
      <c r="D26" s="64">
        <f>F15</f>
        <v>0</v>
      </c>
      <c r="E26" s="64">
        <f>E15</f>
        <v>0</v>
      </c>
      <c r="F26" s="64">
        <f>D15</f>
        <v>0</v>
      </c>
      <c r="G26" s="64" t="s">
        <v>110</v>
      </c>
      <c r="I26" s="64" t="s">
        <v>110</v>
      </c>
    </row>
    <row r="27" spans="2:9" x14ac:dyDescent="0.25">
      <c r="B27" s="40" t="s">
        <v>179</v>
      </c>
      <c r="C27" s="113">
        <v>214350.82</v>
      </c>
      <c r="D27" s="60"/>
      <c r="E27" s="60"/>
      <c r="F27" s="60"/>
      <c r="G27" s="67"/>
      <c r="I27" s="67"/>
    </row>
    <row r="28" spans="2:9" x14ac:dyDescent="0.25">
      <c r="B28" s="40" t="s">
        <v>205</v>
      </c>
      <c r="C28" s="113">
        <v>111707.4</v>
      </c>
      <c r="D28" s="60"/>
      <c r="E28" s="60"/>
      <c r="F28" s="60"/>
      <c r="G28" s="67"/>
      <c r="I28" s="67"/>
    </row>
    <row r="29" spans="2:9" x14ac:dyDescent="0.25">
      <c r="B29" s="40" t="s">
        <v>180</v>
      </c>
      <c r="C29" s="113">
        <v>182654.1</v>
      </c>
      <c r="D29" s="60"/>
      <c r="E29" s="60"/>
      <c r="F29" s="60"/>
      <c r="G29" s="67"/>
      <c r="I29" s="67"/>
    </row>
    <row r="30" spans="2:9" x14ac:dyDescent="0.25">
      <c r="B30" s="76" t="s">
        <v>193</v>
      </c>
      <c r="C30" s="113">
        <v>129816.63</v>
      </c>
      <c r="D30" s="60"/>
      <c r="E30" s="60"/>
      <c r="F30" s="60"/>
      <c r="G30" s="67"/>
      <c r="I30" s="67"/>
    </row>
    <row r="31" spans="2:9" x14ac:dyDescent="0.25">
      <c r="B31" s="76" t="s">
        <v>194</v>
      </c>
      <c r="C31" s="113">
        <v>103388.8</v>
      </c>
      <c r="D31" s="60"/>
      <c r="E31" s="60"/>
      <c r="F31" s="60"/>
      <c r="G31" s="67"/>
      <c r="I31" s="67"/>
    </row>
    <row r="32" spans="2:9" x14ac:dyDescent="0.25">
      <c r="B32" s="76" t="s">
        <v>195</v>
      </c>
      <c r="C32" s="113">
        <v>195569.06</v>
      </c>
      <c r="D32" s="60"/>
      <c r="E32" s="60"/>
      <c r="F32" s="60"/>
      <c r="G32" s="67"/>
      <c r="I32" s="67"/>
    </row>
    <row r="33" spans="2:9" x14ac:dyDescent="0.25">
      <c r="B33" s="76" t="s">
        <v>196</v>
      </c>
      <c r="C33" s="113">
        <v>141770.73000000001</v>
      </c>
      <c r="D33" s="60"/>
      <c r="E33" s="60"/>
      <c r="F33" s="60"/>
      <c r="G33" s="67"/>
      <c r="I33" s="67"/>
    </row>
    <row r="34" spans="2:9" x14ac:dyDescent="0.25">
      <c r="B34" s="76" t="s">
        <v>197</v>
      </c>
      <c r="C34" s="113">
        <v>184464.47</v>
      </c>
      <c r="D34" s="60"/>
      <c r="E34" s="60"/>
      <c r="F34" s="60"/>
      <c r="G34" s="67"/>
      <c r="I34" s="67"/>
    </row>
    <row r="36" spans="2:9" x14ac:dyDescent="0.25">
      <c r="F36" s="64" t="s">
        <v>108</v>
      </c>
      <c r="G36" s="6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BDBCD-4483-44C1-A328-08E82F4B46A3}">
  <sheetPr>
    <tabColor rgb="FFFF0000"/>
    <pageSetUpPr fitToPage="1"/>
  </sheetPr>
  <dimension ref="A1:I36"/>
  <sheetViews>
    <sheetView zoomScale="92" zoomScaleNormal="92" workbookViewId="0">
      <selection activeCell="B15" sqref="B15"/>
    </sheetView>
  </sheetViews>
  <sheetFormatPr defaultRowHeight="15" x14ac:dyDescent="0.25"/>
  <cols>
    <col min="1" max="1" width="6.5703125" customWidth="1"/>
    <col min="2" max="3" width="18.7109375" customWidth="1"/>
    <col min="4" max="5" width="28.5703125" bestFit="1" customWidth="1"/>
    <col min="6" max="6" width="28.7109375" bestFit="1" customWidth="1"/>
    <col min="7" max="7" width="19" bestFit="1" customWidth="1"/>
    <col min="8" max="9" width="11.7109375" customWidth="1"/>
  </cols>
  <sheetData>
    <row r="1" spans="1:7" x14ac:dyDescent="0.25">
      <c r="A1" s="41" t="s">
        <v>258</v>
      </c>
      <c r="B1" s="114" t="s">
        <v>251</v>
      </c>
      <c r="C1" s="42"/>
      <c r="D1" s="42"/>
      <c r="E1" s="42"/>
      <c r="F1" s="42"/>
      <c r="G1" s="43"/>
    </row>
    <row r="2" spans="1:7" x14ac:dyDescent="0.25">
      <c r="B2" s="62" t="s">
        <v>237</v>
      </c>
      <c r="C2" s="44"/>
      <c r="D2" s="44"/>
      <c r="E2" s="44"/>
      <c r="F2" s="44"/>
      <c r="G2" s="45"/>
    </row>
    <row r="3" spans="1:7" x14ac:dyDescent="0.25">
      <c r="B3" s="115" t="str">
        <f t="shared" ref="B3:B8" si="0">"Sales from "&amp;DOLLAR(B16,2)&amp;" - "&amp;IF(ISNUMBER(C16),DOLLAR(C16,2),C16)&amp;" = "&amp;TEXT(D16,"0.00%")</f>
        <v>Sales from $0.00 - $50,000.00 = 3.50%</v>
      </c>
      <c r="C3" s="44"/>
      <c r="D3" s="44"/>
      <c r="E3" s="44"/>
      <c r="F3" s="44"/>
      <c r="G3" s="45"/>
    </row>
    <row r="4" spans="1:7" x14ac:dyDescent="0.25">
      <c r="B4" s="115" t="str">
        <f t="shared" si="0"/>
        <v>Sales from $50,000.01 - $125,000.00 = 4.00%</v>
      </c>
      <c r="C4" s="44"/>
      <c r="D4" s="44"/>
      <c r="E4" s="44"/>
      <c r="F4" s="44"/>
      <c r="G4" s="45"/>
    </row>
    <row r="5" spans="1:7" x14ac:dyDescent="0.25">
      <c r="B5" s="115" t="str">
        <f t="shared" si="0"/>
        <v>Sales from $125,000.01 - $150,000.00 = 5.00%</v>
      </c>
      <c r="C5" s="44"/>
      <c r="D5" s="44"/>
      <c r="E5" s="44"/>
      <c r="F5" s="44"/>
      <c r="G5" s="45"/>
    </row>
    <row r="6" spans="1:7" x14ac:dyDescent="0.25">
      <c r="B6" s="115" t="str">
        <f t="shared" si="0"/>
        <v>Sales from $150,000.01 - $175,000.00 = 6.50%</v>
      </c>
      <c r="C6" s="44"/>
      <c r="D6" s="44"/>
      <c r="E6" s="44"/>
      <c r="F6" s="44"/>
      <c r="G6" s="45"/>
    </row>
    <row r="7" spans="1:7" x14ac:dyDescent="0.25">
      <c r="B7" s="115" t="str">
        <f t="shared" si="0"/>
        <v>Sales from $175,000.01 - $225,000.00 = 7.50%</v>
      </c>
      <c r="C7" s="44"/>
      <c r="D7" s="44"/>
      <c r="E7" s="44"/>
      <c r="F7" s="44"/>
      <c r="G7" s="45"/>
    </row>
    <row r="8" spans="1:7" x14ac:dyDescent="0.25">
      <c r="B8" s="115" t="str">
        <f t="shared" si="0"/>
        <v>Sales from $225,000.01 - more = 10.00%</v>
      </c>
      <c r="C8" s="44"/>
      <c r="D8" s="44"/>
      <c r="E8" s="44"/>
      <c r="F8" s="44"/>
      <c r="G8" s="45"/>
    </row>
    <row r="9" spans="1:7" x14ac:dyDescent="0.25">
      <c r="B9" s="49"/>
      <c r="C9" s="46"/>
      <c r="D9" s="46"/>
      <c r="E9" s="46"/>
      <c r="F9" s="46"/>
      <c r="G9" s="47"/>
    </row>
    <row r="11" spans="1:7" x14ac:dyDescent="0.25">
      <c r="B11" s="80" t="str">
        <f>"Formula is "&amp;ADDRESS(ROW(B17),COLUMN(B17),4)&amp;":"</f>
        <v>Formula is B17:</v>
      </c>
      <c r="E11" s="80" t="str">
        <f>"Formula is "&amp;ADDRESS(ROW(E17),COLUMN(E17),4)&amp;":"</f>
        <v>Formula is E17:</v>
      </c>
      <c r="F11" s="80" t="str">
        <f>"Formula is "&amp;ADDRESS(ROW(F17),COLUMN(F17),4)&amp;":"</f>
        <v>Formula is F17:</v>
      </c>
    </row>
    <row r="12" spans="1:7" x14ac:dyDescent="0.25">
      <c r="B12" s="40" t="str">
        <f ca="1">IF(_xlfn.ISFORMULA(B17),_xlfn.FORMULATEXT(B17),"")</f>
        <v>=C16+0.01</v>
      </c>
      <c r="E12" s="40" t="str">
        <f ca="1">IF(_xlfn.ISFORMULA(E17),_xlfn.FORMULATEXT(E17),"")</f>
        <v>=C16</v>
      </c>
      <c r="F12" s="40" t="str">
        <f ca="1">IF(_xlfn.ISFORMULA(F17),_xlfn.FORMULATEXT(F17),"")</f>
        <v>=F16+ROUND((E17-E16)*D16,2)</v>
      </c>
    </row>
    <row r="14" spans="1:7" x14ac:dyDescent="0.25">
      <c r="B14" s="79">
        <v>1</v>
      </c>
      <c r="C14" s="79">
        <v>2</v>
      </c>
      <c r="D14" s="79">
        <v>3</v>
      </c>
      <c r="E14" s="79">
        <v>4</v>
      </c>
      <c r="F14" s="79">
        <v>5</v>
      </c>
    </row>
    <row r="15" spans="1:7" ht="45" x14ac:dyDescent="0.25">
      <c r="B15" s="64" t="s">
        <v>26</v>
      </c>
      <c r="C15" s="64" t="s">
        <v>207</v>
      </c>
      <c r="D15" s="64" t="s">
        <v>234</v>
      </c>
      <c r="E15" s="64" t="s">
        <v>181</v>
      </c>
      <c r="F15" s="64" t="s">
        <v>182</v>
      </c>
    </row>
    <row r="16" spans="1:7" x14ac:dyDescent="0.25">
      <c r="B16" s="76">
        <v>0</v>
      </c>
      <c r="C16" s="94">
        <v>50000</v>
      </c>
      <c r="D16" s="95">
        <v>3.5000000000000003E-2</v>
      </c>
      <c r="E16" s="76"/>
      <c r="F16" s="76"/>
    </row>
    <row r="17" spans="2:9" x14ac:dyDescent="0.25">
      <c r="B17" s="67">
        <f>C16+0.01</f>
        <v>50000.01</v>
      </c>
      <c r="C17" s="94">
        <v>125000</v>
      </c>
      <c r="D17" s="95">
        <v>0.04</v>
      </c>
      <c r="E17" s="67">
        <f>C16</f>
        <v>50000</v>
      </c>
      <c r="F17" s="67">
        <f>F16+ROUND((E17-E16)*D16,2)</f>
        <v>1750</v>
      </c>
    </row>
    <row r="18" spans="2:9" x14ac:dyDescent="0.25">
      <c r="B18" s="67">
        <f t="shared" ref="B18:B21" si="1">C17+0.01</f>
        <v>125000.01</v>
      </c>
      <c r="C18" s="94">
        <v>150000</v>
      </c>
      <c r="D18" s="95">
        <v>0.05</v>
      </c>
      <c r="E18" s="67">
        <f t="shared" ref="E18:E21" si="2">C17</f>
        <v>125000</v>
      </c>
      <c r="F18" s="67">
        <f>F17+ROUND((E18-E17)*D17,2)</f>
        <v>4750</v>
      </c>
    </row>
    <row r="19" spans="2:9" x14ac:dyDescent="0.25">
      <c r="B19" s="67">
        <f t="shared" si="1"/>
        <v>150000.01</v>
      </c>
      <c r="C19" s="94">
        <v>175000</v>
      </c>
      <c r="D19" s="95">
        <v>6.5000000000000002E-2</v>
      </c>
      <c r="E19" s="67">
        <f t="shared" si="2"/>
        <v>150000</v>
      </c>
      <c r="F19" s="67">
        <f t="shared" ref="F19:F21" si="3">F18+ROUND((C18-C17)*D18,2)</f>
        <v>6000</v>
      </c>
    </row>
    <row r="20" spans="2:9" x14ac:dyDescent="0.25">
      <c r="B20" s="67">
        <f t="shared" si="1"/>
        <v>175000.01</v>
      </c>
      <c r="C20" s="94">
        <v>225000</v>
      </c>
      <c r="D20" s="95">
        <v>7.5000000000000011E-2</v>
      </c>
      <c r="E20" s="67">
        <f t="shared" si="2"/>
        <v>175000</v>
      </c>
      <c r="F20" s="67">
        <f t="shared" si="3"/>
        <v>7625</v>
      </c>
    </row>
    <row r="21" spans="2:9" x14ac:dyDescent="0.25">
      <c r="B21" s="67">
        <f t="shared" si="1"/>
        <v>225000.01</v>
      </c>
      <c r="C21" s="94" t="s">
        <v>125</v>
      </c>
      <c r="D21" s="95">
        <v>0.1</v>
      </c>
      <c r="E21" s="67">
        <f t="shared" si="2"/>
        <v>225000</v>
      </c>
      <c r="F21" s="67">
        <f t="shared" si="3"/>
        <v>11375</v>
      </c>
    </row>
    <row r="23" spans="2:9" x14ac:dyDescent="0.25">
      <c r="D23" s="80" t="str">
        <f>"Formula is "&amp;ADDRESS(ROW(D27),COLUMN(D27),4)&amp;":"</f>
        <v>Formula is D27:</v>
      </c>
      <c r="E23" s="80" t="str">
        <f>"Formula is "&amp;ADDRESS(ROW(E27),COLUMN(E27),4)&amp;":"</f>
        <v>Formula is E27:</v>
      </c>
      <c r="F23" s="80" t="str">
        <f>"Formula is "&amp;ADDRESS(ROW(F27),COLUMN(F27),4)&amp;":"</f>
        <v>Formula is F27:</v>
      </c>
      <c r="G23" s="80" t="str">
        <f>"Formula is "&amp;ADDRESS(ROW(I27),COLUMN(I27),4)&amp;":"</f>
        <v>Formula is I27:</v>
      </c>
    </row>
    <row r="24" spans="2:9" x14ac:dyDescent="0.25">
      <c r="D24" t="str">
        <f ca="1">IF(_xlfn.ISFORMULA(D27),_xlfn.FORMULATEXT(D27),"")</f>
        <v>=VLOOKUP(C27,$B$16:$F$21,5)</v>
      </c>
      <c r="E24" t="str">
        <f ca="1">IF(_xlfn.ISFORMULA(E27),_xlfn.FORMULATEXT(E27),"")</f>
        <v>=VLOOKUP(C27,$B$16:$F$21,4)</v>
      </c>
      <c r="F24" t="str">
        <f ca="1">IF(_xlfn.ISFORMULA(F27),_xlfn.FORMULATEXT(F27),"")</f>
        <v>=VLOOKUP(C27,$B$16:$F$21,3)</v>
      </c>
      <c r="G24" t="str">
        <f ca="1">IF(_xlfn.ISFORMULA(G27),_xlfn.FORMULATEXT(G27),"")</f>
        <v>=D27+ROUND((C27-E27)*F27,2)</v>
      </c>
    </row>
    <row r="26" spans="2:9" ht="30" x14ac:dyDescent="0.25">
      <c r="B26" s="64" t="s">
        <v>28</v>
      </c>
      <c r="C26" s="64" t="s">
        <v>228</v>
      </c>
      <c r="D26" s="64" t="str">
        <f>F15</f>
        <v>Com Through Previous Categories</v>
      </c>
      <c r="E26" s="64" t="str">
        <f>E15</f>
        <v>Amount Sales Through Previous Categories</v>
      </c>
      <c r="F26" s="64" t="str">
        <f>D15</f>
        <v>Commission Rate</v>
      </c>
      <c r="G26" s="64" t="s">
        <v>110</v>
      </c>
      <c r="I26" s="64" t="s">
        <v>110</v>
      </c>
    </row>
    <row r="27" spans="2:9" x14ac:dyDescent="0.25">
      <c r="B27" s="40" t="s">
        <v>179</v>
      </c>
      <c r="C27" s="113">
        <v>214350.82</v>
      </c>
      <c r="D27" s="60">
        <f>VLOOKUP(C27,$B$16:$F$21,5)</f>
        <v>7625</v>
      </c>
      <c r="E27" s="60">
        <f>VLOOKUP(C27,$B$16:$F$21,4)</f>
        <v>175000</v>
      </c>
      <c r="F27" s="60">
        <f>VLOOKUP(C27,$B$16:$F$21,3)</f>
        <v>7.5000000000000011E-2</v>
      </c>
      <c r="G27" s="67">
        <f>D27+ROUND((C27-E27)*F27,2)</f>
        <v>10576.31</v>
      </c>
      <c r="I27" s="67">
        <f>VLOOKUP(C27,$B$16:$F$21,5)+ROUND((C27-VLOOKUP(C27,$B$16:$F$21,4))*VLOOKUP(C27,$B$16:$F$21,3),2)</f>
        <v>10576.31</v>
      </c>
    </row>
    <row r="28" spans="2:9" x14ac:dyDescent="0.25">
      <c r="B28" s="40" t="s">
        <v>205</v>
      </c>
      <c r="C28" s="113">
        <v>111707.4</v>
      </c>
      <c r="D28" s="60">
        <f t="shared" ref="D28:D34" si="4">VLOOKUP(C28,$B$16:$F$21,5)</f>
        <v>1750</v>
      </c>
      <c r="E28" s="60">
        <f t="shared" ref="E28:E34" si="5">VLOOKUP(C28,$B$16:$F$21,4)</f>
        <v>50000</v>
      </c>
      <c r="F28" s="60">
        <f t="shared" ref="F28:F34" si="6">VLOOKUP(C28,$B$16:$F$21,3)</f>
        <v>0.04</v>
      </c>
      <c r="G28" s="67">
        <f t="shared" ref="G28:G34" si="7">D28+ROUND((C28-E28)*F28,2)</f>
        <v>4218.3</v>
      </c>
      <c r="I28" s="67">
        <f t="shared" ref="I28:I34" si="8">VLOOKUP(C28,$B$16:$F$21,5)+ROUND((C28-VLOOKUP(C28,$B$16:$F$21,4))*VLOOKUP(C28,$B$16:$F$21,3),2)</f>
        <v>4218.3</v>
      </c>
    </row>
    <row r="29" spans="2:9" x14ac:dyDescent="0.25">
      <c r="B29" s="40" t="s">
        <v>180</v>
      </c>
      <c r="C29" s="113">
        <v>182654.1</v>
      </c>
      <c r="D29" s="60">
        <f t="shared" si="4"/>
        <v>7625</v>
      </c>
      <c r="E29" s="60">
        <f t="shared" si="5"/>
        <v>175000</v>
      </c>
      <c r="F29" s="60">
        <f t="shared" si="6"/>
        <v>7.5000000000000011E-2</v>
      </c>
      <c r="G29" s="67">
        <f t="shared" si="7"/>
        <v>8199.06</v>
      </c>
      <c r="I29" s="67">
        <f t="shared" si="8"/>
        <v>8199.06</v>
      </c>
    </row>
    <row r="30" spans="2:9" x14ac:dyDescent="0.25">
      <c r="B30" s="76" t="s">
        <v>193</v>
      </c>
      <c r="C30" s="113">
        <v>129816.63</v>
      </c>
      <c r="D30" s="60">
        <f t="shared" si="4"/>
        <v>4750</v>
      </c>
      <c r="E30" s="60">
        <f t="shared" si="5"/>
        <v>125000</v>
      </c>
      <c r="F30" s="60">
        <f t="shared" si="6"/>
        <v>0.05</v>
      </c>
      <c r="G30" s="67">
        <f t="shared" si="7"/>
        <v>4990.83</v>
      </c>
      <c r="I30" s="67">
        <f t="shared" si="8"/>
        <v>4990.83</v>
      </c>
    </row>
    <row r="31" spans="2:9" x14ac:dyDescent="0.25">
      <c r="B31" s="76" t="s">
        <v>194</v>
      </c>
      <c r="C31" s="113">
        <v>103388.8</v>
      </c>
      <c r="D31" s="60">
        <f t="shared" si="4"/>
        <v>1750</v>
      </c>
      <c r="E31" s="60">
        <f t="shared" si="5"/>
        <v>50000</v>
      </c>
      <c r="F31" s="60">
        <f t="shared" si="6"/>
        <v>0.04</v>
      </c>
      <c r="G31" s="67">
        <f t="shared" si="7"/>
        <v>3885.55</v>
      </c>
      <c r="I31" s="67">
        <f t="shared" si="8"/>
        <v>3885.55</v>
      </c>
    </row>
    <row r="32" spans="2:9" x14ac:dyDescent="0.25">
      <c r="B32" s="76" t="s">
        <v>195</v>
      </c>
      <c r="C32" s="113">
        <v>195569.06</v>
      </c>
      <c r="D32" s="60">
        <f t="shared" si="4"/>
        <v>7625</v>
      </c>
      <c r="E32" s="60">
        <f t="shared" si="5"/>
        <v>175000</v>
      </c>
      <c r="F32" s="60">
        <f t="shared" si="6"/>
        <v>7.5000000000000011E-2</v>
      </c>
      <c r="G32" s="67">
        <f t="shared" si="7"/>
        <v>9167.68</v>
      </c>
      <c r="I32" s="67">
        <f t="shared" si="8"/>
        <v>9167.68</v>
      </c>
    </row>
    <row r="33" spans="2:9" x14ac:dyDescent="0.25">
      <c r="B33" s="76" t="s">
        <v>196</v>
      </c>
      <c r="C33" s="113">
        <v>141770.73000000001</v>
      </c>
      <c r="D33" s="60">
        <f t="shared" si="4"/>
        <v>4750</v>
      </c>
      <c r="E33" s="60">
        <f t="shared" si="5"/>
        <v>125000</v>
      </c>
      <c r="F33" s="60">
        <f t="shared" si="6"/>
        <v>0.05</v>
      </c>
      <c r="G33" s="67">
        <f t="shared" si="7"/>
        <v>5588.54</v>
      </c>
      <c r="I33" s="67">
        <f t="shared" si="8"/>
        <v>5588.54</v>
      </c>
    </row>
    <row r="34" spans="2:9" x14ac:dyDescent="0.25">
      <c r="B34" s="76" t="s">
        <v>197</v>
      </c>
      <c r="C34" s="113">
        <v>184464.47</v>
      </c>
      <c r="D34" s="60">
        <f t="shared" si="4"/>
        <v>7625</v>
      </c>
      <c r="E34" s="60">
        <f t="shared" si="5"/>
        <v>175000</v>
      </c>
      <c r="F34" s="60">
        <f t="shared" si="6"/>
        <v>7.5000000000000011E-2</v>
      </c>
      <c r="G34" s="67">
        <f t="shared" si="7"/>
        <v>8334.84</v>
      </c>
      <c r="I34" s="67">
        <f t="shared" si="8"/>
        <v>8334.84</v>
      </c>
    </row>
    <row r="36" spans="2:9" x14ac:dyDescent="0.25">
      <c r="F36" s="64" t="s">
        <v>108</v>
      </c>
      <c r="G36" s="67">
        <f>SUM(G27:G34)</f>
        <v>54961.11</v>
      </c>
    </row>
  </sheetData>
  <printOptions headings="1"/>
  <pageMargins left="0.7" right="0.7" top="0.75" bottom="0.75" header="0.3" footer="0.3"/>
  <pageSetup scale="6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49D9D-9536-42F3-B250-B918021A4471}">
  <sheetPr>
    <tabColor rgb="FF0000FF"/>
  </sheetPr>
  <dimension ref="A1:F15"/>
  <sheetViews>
    <sheetView zoomScale="145" zoomScaleNormal="145" workbookViewId="0">
      <selection activeCell="C15" sqref="C15"/>
    </sheetView>
  </sheetViews>
  <sheetFormatPr defaultRowHeight="15" x14ac:dyDescent="0.25"/>
  <cols>
    <col min="1" max="1" width="6.28515625" customWidth="1"/>
    <col min="2" max="2" width="30.85546875" customWidth="1"/>
    <col min="3" max="3" width="17" customWidth="1"/>
    <col min="4" max="4" width="2" customWidth="1"/>
    <col min="5" max="5" width="36.5703125" bestFit="1" customWidth="1"/>
    <col min="6" max="6" width="6.85546875" customWidth="1"/>
    <col min="7" max="8" width="16.42578125" bestFit="1" customWidth="1"/>
  </cols>
  <sheetData>
    <row r="1" spans="1:6" x14ac:dyDescent="0.25">
      <c r="A1" s="41" t="s">
        <v>285</v>
      </c>
      <c r="B1" s="48" t="s">
        <v>272</v>
      </c>
      <c r="C1" s="42"/>
      <c r="D1" s="42"/>
      <c r="E1" s="42"/>
      <c r="F1" s="43"/>
    </row>
    <row r="2" spans="1:6" x14ac:dyDescent="0.25">
      <c r="A2" s="41"/>
      <c r="B2" s="124" t="s">
        <v>273</v>
      </c>
      <c r="C2" s="44"/>
      <c r="D2" s="44"/>
      <c r="E2" s="44"/>
      <c r="F2" s="45"/>
    </row>
    <row r="3" spans="1:6" x14ac:dyDescent="0.25">
      <c r="B3" s="62" t="s">
        <v>260</v>
      </c>
      <c r="C3" s="44"/>
      <c r="D3" s="44"/>
      <c r="E3" s="44"/>
      <c r="F3" s="45"/>
    </row>
    <row r="4" spans="1:6" x14ac:dyDescent="0.25">
      <c r="B4" s="125" t="s">
        <v>274</v>
      </c>
      <c r="C4" s="44"/>
      <c r="D4" s="44"/>
      <c r="E4" s="44"/>
      <c r="F4" s="45"/>
    </row>
    <row r="5" spans="1:6" x14ac:dyDescent="0.25">
      <c r="B5" s="128" t="s">
        <v>275</v>
      </c>
      <c r="C5" s="44"/>
      <c r="D5" s="44"/>
      <c r="E5" s="126" t="s">
        <v>282</v>
      </c>
      <c r="F5" s="45"/>
    </row>
    <row r="6" spans="1:6" x14ac:dyDescent="0.25">
      <c r="B6" s="58" t="s">
        <v>276</v>
      </c>
      <c r="C6" s="44"/>
      <c r="D6" s="44"/>
      <c r="E6" s="126" t="s">
        <v>283</v>
      </c>
      <c r="F6" s="45"/>
    </row>
    <row r="7" spans="1:6" x14ac:dyDescent="0.25">
      <c r="B7" s="58" t="s">
        <v>277</v>
      </c>
      <c r="C7" s="44"/>
      <c r="D7" s="44"/>
      <c r="E7" s="126" t="s">
        <v>281</v>
      </c>
      <c r="F7" s="45"/>
    </row>
    <row r="8" spans="1:6" x14ac:dyDescent="0.25">
      <c r="B8" s="58" t="s">
        <v>278</v>
      </c>
      <c r="C8" s="44"/>
      <c r="D8" s="44"/>
      <c r="E8" s="126" t="s">
        <v>280</v>
      </c>
      <c r="F8" s="45"/>
    </row>
    <row r="9" spans="1:6" x14ac:dyDescent="0.25">
      <c r="B9" s="58" t="s">
        <v>284</v>
      </c>
      <c r="C9" s="44"/>
      <c r="D9" s="44"/>
      <c r="E9" s="126" t="s">
        <v>270</v>
      </c>
      <c r="F9" s="45"/>
    </row>
    <row r="10" spans="1:6" x14ac:dyDescent="0.25">
      <c r="B10" s="127" t="s">
        <v>279</v>
      </c>
      <c r="C10" s="46"/>
      <c r="D10" s="46"/>
      <c r="E10" s="46"/>
      <c r="F10" s="47"/>
    </row>
    <row r="12" spans="1:6" x14ac:dyDescent="0.25">
      <c r="B12" s="51" t="s">
        <v>213</v>
      </c>
      <c r="C12" s="111" t="s">
        <v>262</v>
      </c>
    </row>
    <row r="13" spans="1:6" x14ac:dyDescent="0.25">
      <c r="B13" s="51" t="s">
        <v>212</v>
      </c>
      <c r="C13" s="111">
        <v>2000</v>
      </c>
    </row>
    <row r="14" spans="1:6" x14ac:dyDescent="0.25">
      <c r="B14" s="51" t="str">
        <f>C12&amp;"'s Sales for month:"</f>
        <v>Kenya Freeman's Sales for month:</v>
      </c>
      <c r="C14" s="111">
        <v>143958.25</v>
      </c>
    </row>
    <row r="15" spans="1:6" x14ac:dyDescent="0.25">
      <c r="B15" s="51" t="s">
        <v>110</v>
      </c>
      <c r="C15" s="57"/>
      <c r="E15" t="str">
        <f ca="1">IF(_xlfn.ISFORMULA(C15),""&amp;_xlfn.FORMULATEXT(C15),"")</f>
        <v/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C838E-63DA-4E4B-AD18-6A453A4C0BA0}">
  <sheetPr>
    <tabColor rgb="FFFF0000"/>
  </sheetPr>
  <dimension ref="A1:F22"/>
  <sheetViews>
    <sheetView zoomScale="145" zoomScaleNormal="145" workbookViewId="0">
      <selection activeCell="C14" sqref="C14"/>
    </sheetView>
  </sheetViews>
  <sheetFormatPr defaultRowHeight="15" x14ac:dyDescent="0.25"/>
  <cols>
    <col min="1" max="1" width="6.28515625" customWidth="1"/>
    <col min="2" max="2" width="30.85546875" customWidth="1"/>
    <col min="3" max="3" width="17" customWidth="1"/>
    <col min="4" max="4" width="2" customWidth="1"/>
    <col min="5" max="5" width="36.5703125" bestFit="1" customWidth="1"/>
    <col min="6" max="6" width="6.85546875" customWidth="1"/>
    <col min="7" max="8" width="16.42578125" bestFit="1" customWidth="1"/>
  </cols>
  <sheetData>
    <row r="1" spans="1:6" x14ac:dyDescent="0.25">
      <c r="A1" s="41" t="s">
        <v>285</v>
      </c>
      <c r="B1" s="48" t="s">
        <v>272</v>
      </c>
      <c r="C1" s="42"/>
      <c r="D1" s="42"/>
      <c r="E1" s="42"/>
      <c r="F1" s="43"/>
    </row>
    <row r="2" spans="1:6" x14ac:dyDescent="0.25">
      <c r="A2" s="41"/>
      <c r="B2" s="124" t="s">
        <v>273</v>
      </c>
      <c r="C2" s="44"/>
      <c r="D2" s="44"/>
      <c r="E2" s="44"/>
      <c r="F2" s="45"/>
    </row>
    <row r="3" spans="1:6" x14ac:dyDescent="0.25">
      <c r="B3" s="62" t="s">
        <v>260</v>
      </c>
      <c r="C3" s="44"/>
      <c r="D3" s="44"/>
      <c r="E3" s="44"/>
      <c r="F3" s="45"/>
    </row>
    <row r="4" spans="1:6" x14ac:dyDescent="0.25">
      <c r="B4" s="125" t="s">
        <v>274</v>
      </c>
      <c r="C4" s="44"/>
      <c r="D4" s="44"/>
      <c r="E4" s="44"/>
      <c r="F4" s="45"/>
    </row>
    <row r="5" spans="1:6" x14ac:dyDescent="0.25">
      <c r="B5" s="128" t="s">
        <v>275</v>
      </c>
      <c r="C5" s="44"/>
      <c r="D5" s="44"/>
      <c r="E5" s="126" t="s">
        <v>282</v>
      </c>
      <c r="F5" s="45"/>
    </row>
    <row r="6" spans="1:6" x14ac:dyDescent="0.25">
      <c r="B6" s="58" t="s">
        <v>276</v>
      </c>
      <c r="C6" s="44"/>
      <c r="D6" s="44"/>
      <c r="E6" s="126" t="s">
        <v>283</v>
      </c>
      <c r="F6" s="45"/>
    </row>
    <row r="7" spans="1:6" x14ac:dyDescent="0.25">
      <c r="B7" s="58" t="s">
        <v>277</v>
      </c>
      <c r="C7" s="44"/>
      <c r="D7" s="44"/>
      <c r="E7" s="126" t="s">
        <v>281</v>
      </c>
      <c r="F7" s="45"/>
    </row>
    <row r="8" spans="1:6" x14ac:dyDescent="0.25">
      <c r="B8" s="58" t="s">
        <v>278</v>
      </c>
      <c r="C8" s="44"/>
      <c r="D8" s="44"/>
      <c r="E8" s="126" t="s">
        <v>280</v>
      </c>
      <c r="F8" s="45"/>
    </row>
    <row r="9" spans="1:6" x14ac:dyDescent="0.25">
      <c r="B9" s="58" t="s">
        <v>284</v>
      </c>
      <c r="C9" s="44"/>
      <c r="D9" s="44"/>
      <c r="E9" s="126" t="s">
        <v>270</v>
      </c>
      <c r="F9" s="45"/>
    </row>
    <row r="10" spans="1:6" x14ac:dyDescent="0.25">
      <c r="B10" s="127" t="s">
        <v>279</v>
      </c>
      <c r="C10" s="46"/>
      <c r="D10" s="46"/>
      <c r="E10" s="46"/>
      <c r="F10" s="47"/>
    </row>
    <row r="12" spans="1:6" x14ac:dyDescent="0.25">
      <c r="B12" s="51" t="s">
        <v>213</v>
      </c>
      <c r="C12" s="111" t="s">
        <v>262</v>
      </c>
    </row>
    <row r="13" spans="1:6" x14ac:dyDescent="0.25">
      <c r="B13" s="51" t="s">
        <v>212</v>
      </c>
      <c r="C13" s="111">
        <v>2000</v>
      </c>
    </row>
    <row r="14" spans="1:6" x14ac:dyDescent="0.25">
      <c r="B14" s="51" t="str">
        <f>C12&amp;"'s Sales for month:"</f>
        <v>Kenya Freeman's Sales for month:</v>
      </c>
      <c r="C14" s="111">
        <v>143958.25</v>
      </c>
    </row>
    <row r="15" spans="1:6" x14ac:dyDescent="0.25">
      <c r="B15" s="51" t="s">
        <v>110</v>
      </c>
      <c r="C15" s="57">
        <f>VLOOKUP(C14,B18:C22,2)*C14+C13</f>
        <v>9557.8081249999996</v>
      </c>
      <c r="E15" t="str">
        <f ca="1">IF(_xlfn.ISFORMULA(C15),""&amp;_xlfn.FORMULATEXT(C15),"")</f>
        <v>=VLOOKUP(C14,B18:C22,2)*C14+C13</v>
      </c>
    </row>
    <row r="17" spans="2:3" x14ac:dyDescent="0.25">
      <c r="B17" s="51" t="s">
        <v>259</v>
      </c>
      <c r="C17" s="51" t="s">
        <v>234</v>
      </c>
    </row>
    <row r="18" spans="2:3" x14ac:dyDescent="0.25">
      <c r="B18" s="40">
        <v>0</v>
      </c>
      <c r="C18" s="95">
        <v>5.0000000000000001E-3</v>
      </c>
    </row>
    <row r="19" spans="2:3" x14ac:dyDescent="0.25">
      <c r="B19" s="40">
        <v>5000</v>
      </c>
      <c r="C19" s="95">
        <v>0.02</v>
      </c>
    </row>
    <row r="20" spans="2:3" x14ac:dyDescent="0.25">
      <c r="B20" s="40">
        <v>20000</v>
      </c>
      <c r="C20" s="95">
        <v>2.5000000000000001E-2</v>
      </c>
    </row>
    <row r="21" spans="2:3" x14ac:dyDescent="0.25">
      <c r="B21" s="40">
        <v>30000</v>
      </c>
      <c r="C21" s="95">
        <v>3.7499999999999999E-2</v>
      </c>
    </row>
    <row r="22" spans="2:3" x14ac:dyDescent="0.25">
      <c r="B22" s="40">
        <v>40000</v>
      </c>
      <c r="C22" s="95">
        <v>5.2499999999999998E-2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F8FB8-F52D-4C97-8B56-47FF575E3DC8}">
  <sheetPr>
    <tabColor theme="1"/>
  </sheetPr>
  <dimension ref="A1"/>
  <sheetViews>
    <sheetView workbookViewId="0">
      <selection activeCell="B4" sqref="B4"/>
    </sheetView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E2BE7-F218-4900-A521-97C0C8E61CD1}">
  <sheetPr>
    <tabColor rgb="FF0000FF"/>
  </sheetPr>
  <dimension ref="A1:D4"/>
  <sheetViews>
    <sheetView zoomScale="220" zoomScaleNormal="220" workbookViewId="0">
      <selection activeCell="A6" sqref="A6"/>
    </sheetView>
  </sheetViews>
  <sheetFormatPr defaultRowHeight="15" x14ac:dyDescent="0.25"/>
  <cols>
    <col min="1" max="1" width="26.85546875" customWidth="1"/>
    <col min="4" max="4" width="13.5703125" customWidth="1"/>
  </cols>
  <sheetData>
    <row r="1" spans="1:4" x14ac:dyDescent="0.25">
      <c r="A1" s="48" t="s">
        <v>309</v>
      </c>
      <c r="B1" s="42"/>
      <c r="C1" s="42"/>
      <c r="D1" s="43"/>
    </row>
    <row r="2" spans="1:4" x14ac:dyDescent="0.25">
      <c r="A2" s="62" t="s">
        <v>310</v>
      </c>
      <c r="B2" s="44"/>
      <c r="C2" s="44"/>
      <c r="D2" s="45"/>
    </row>
    <row r="3" spans="1:4" x14ac:dyDescent="0.25">
      <c r="A3" s="62" t="s">
        <v>311</v>
      </c>
      <c r="B3" s="44"/>
      <c r="C3" s="44"/>
      <c r="D3" s="45"/>
    </row>
    <row r="4" spans="1:4" x14ac:dyDescent="0.25">
      <c r="A4" s="49" t="s">
        <v>312</v>
      </c>
      <c r="B4" s="46"/>
      <c r="C4" s="46"/>
      <c r="D4" s="4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3FB6A-F83E-4202-9E8F-E64DE6E2CD65}">
  <sheetPr>
    <tabColor rgb="FFFF0000"/>
  </sheetPr>
  <dimension ref="A1:D10"/>
  <sheetViews>
    <sheetView zoomScale="220" zoomScaleNormal="220" workbookViewId="0">
      <selection activeCell="A10" sqref="A10"/>
    </sheetView>
  </sheetViews>
  <sheetFormatPr defaultRowHeight="15" x14ac:dyDescent="0.25"/>
  <cols>
    <col min="1" max="1" width="26.85546875" customWidth="1"/>
    <col min="4" max="4" width="13.5703125" customWidth="1"/>
  </cols>
  <sheetData>
    <row r="1" spans="1:4" x14ac:dyDescent="0.25">
      <c r="A1" s="48" t="s">
        <v>309</v>
      </c>
      <c r="B1" s="42"/>
      <c r="C1" s="42"/>
      <c r="D1" s="43"/>
    </row>
    <row r="2" spans="1:4" x14ac:dyDescent="0.25">
      <c r="A2" s="62" t="s">
        <v>310</v>
      </c>
      <c r="B2" s="44"/>
      <c r="C2" s="44"/>
      <c r="D2" s="45"/>
    </row>
    <row r="3" spans="1:4" x14ac:dyDescent="0.25">
      <c r="A3" s="62" t="s">
        <v>311</v>
      </c>
      <c r="B3" s="44"/>
      <c r="C3" s="44"/>
      <c r="D3" s="45"/>
    </row>
    <row r="4" spans="1:4" x14ac:dyDescent="0.25">
      <c r="A4" s="49" t="s">
        <v>312</v>
      </c>
      <c r="B4" s="46"/>
      <c r="C4" s="46"/>
      <c r="D4" s="47"/>
    </row>
    <row r="6" spans="1:4" x14ac:dyDescent="0.25">
      <c r="A6" s="51" t="s">
        <v>307</v>
      </c>
      <c r="B6" s="111">
        <v>1.1499999999999999</v>
      </c>
    </row>
    <row r="7" spans="1:4" x14ac:dyDescent="0.25">
      <c r="A7" s="51" t="s">
        <v>308</v>
      </c>
      <c r="B7" s="52">
        <v>215</v>
      </c>
    </row>
    <row r="8" spans="1:4" x14ac:dyDescent="0.25">
      <c r="A8" s="51" t="s">
        <v>110</v>
      </c>
      <c r="B8" s="57">
        <f>B7*B6</f>
        <v>247.24999999999997</v>
      </c>
      <c r="D8" t="str">
        <f ca="1">IF(_xlfn.ISFORMULA(B8),""&amp;_xlfn.FORMULATEXT(B8),"")</f>
        <v>=B7*B6</v>
      </c>
    </row>
    <row r="10" spans="1:4" x14ac:dyDescent="0.25">
      <c r="B10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38865-38E2-4D5A-8B0F-9BDC4FACB236}">
  <sheetPr>
    <tabColor rgb="FF0000FF"/>
  </sheetPr>
  <dimension ref="A1:G13"/>
  <sheetViews>
    <sheetView zoomScale="175" zoomScaleNormal="175" workbookViewId="0">
      <selection activeCell="C5" sqref="C5"/>
    </sheetView>
  </sheetViews>
  <sheetFormatPr defaultRowHeight="15" x14ac:dyDescent="0.25"/>
  <cols>
    <col min="1" max="1" width="5.42578125" customWidth="1"/>
    <col min="2" max="2" width="25.140625" customWidth="1"/>
    <col min="3" max="3" width="15" customWidth="1"/>
    <col min="4" max="4" width="13.85546875" bestFit="1" customWidth="1"/>
    <col min="5" max="5" width="8.85546875" customWidth="1"/>
    <col min="7" max="7" width="11" customWidth="1"/>
  </cols>
  <sheetData>
    <row r="1" spans="1:7" x14ac:dyDescent="0.25">
      <c r="A1" s="41" t="s">
        <v>109</v>
      </c>
      <c r="B1" s="48" t="s">
        <v>119</v>
      </c>
      <c r="C1" s="42"/>
      <c r="D1" s="42"/>
      <c r="E1" s="43"/>
    </row>
    <row r="2" spans="1:7" x14ac:dyDescent="0.25">
      <c r="B2" s="49" t="s">
        <v>120</v>
      </c>
      <c r="C2" s="46"/>
      <c r="D2" s="46"/>
      <c r="E2" s="47"/>
    </row>
    <row r="3" spans="1:7" x14ac:dyDescent="0.25">
      <c r="B3" s="50" t="s">
        <v>111</v>
      </c>
      <c r="C3" s="56">
        <v>1.35</v>
      </c>
    </row>
    <row r="4" spans="1:7" x14ac:dyDescent="0.25">
      <c r="B4" s="51" t="s">
        <v>113</v>
      </c>
      <c r="C4" s="52">
        <v>127</v>
      </c>
    </row>
    <row r="5" spans="1:7" x14ac:dyDescent="0.25">
      <c r="B5" s="51" t="s">
        <v>110</v>
      </c>
      <c r="C5" s="57"/>
      <c r="E5" t="str">
        <f ca="1">IF(_xlfn.ISFORMULA(C5),""&amp;_xlfn.FORMULATEXT(C5),"")</f>
        <v/>
      </c>
    </row>
    <row r="7" spans="1:7" x14ac:dyDescent="0.25">
      <c r="A7" s="41" t="s">
        <v>112</v>
      </c>
      <c r="B7" s="48" t="s">
        <v>119</v>
      </c>
      <c r="C7" s="42"/>
      <c r="D7" s="42"/>
      <c r="E7" s="42"/>
      <c r="F7" s="42"/>
      <c r="G7" s="43"/>
    </row>
    <row r="8" spans="1:7" x14ac:dyDescent="0.25">
      <c r="A8" s="41"/>
      <c r="B8" s="49" t="s">
        <v>121</v>
      </c>
      <c r="C8" s="46"/>
      <c r="D8" s="46"/>
      <c r="E8" s="46"/>
      <c r="F8" s="46"/>
      <c r="G8" s="47"/>
    </row>
    <row r="9" spans="1:7" x14ac:dyDescent="0.25">
      <c r="B9" s="51" t="s">
        <v>103</v>
      </c>
      <c r="C9" s="51" t="s">
        <v>114</v>
      </c>
      <c r="D9" s="51" t="s">
        <v>104</v>
      </c>
      <c r="E9" s="51" t="s">
        <v>108</v>
      </c>
    </row>
    <row r="10" spans="1:7" x14ac:dyDescent="0.25">
      <c r="B10" s="40" t="s">
        <v>105</v>
      </c>
      <c r="C10" s="52">
        <v>39</v>
      </c>
      <c r="D10" s="55">
        <v>1.01</v>
      </c>
      <c r="E10" s="53"/>
      <c r="G10" t="str">
        <f ca="1">IF(_xlfn.ISFORMULA(E10),""&amp;_xlfn.FORMULATEXT(E10),"")</f>
        <v/>
      </c>
    </row>
    <row r="11" spans="1:7" x14ac:dyDescent="0.25">
      <c r="B11" s="40" t="s">
        <v>106</v>
      </c>
      <c r="C11" s="52">
        <v>112</v>
      </c>
      <c r="D11" s="55">
        <v>0.27500000000000002</v>
      </c>
      <c r="E11" s="53"/>
    </row>
    <row r="12" spans="1:7" x14ac:dyDescent="0.25">
      <c r="B12" s="40" t="s">
        <v>107</v>
      </c>
      <c r="C12" s="52">
        <v>21</v>
      </c>
      <c r="D12" s="55">
        <v>1.2749999999999999</v>
      </c>
      <c r="E12" s="53"/>
    </row>
    <row r="13" spans="1:7" x14ac:dyDescent="0.25">
      <c r="C13" s="23"/>
      <c r="D13" s="52" t="s">
        <v>110</v>
      </c>
      <c r="E13" s="54"/>
      <c r="G13" t="str">
        <f ca="1">IF(_xlfn.ISFORMULA(E13),""&amp;_xlfn.FORMULATEXT(E13),"")</f>
        <v/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9A502-2CCD-46E0-A993-C3E67B29919E}">
  <sheetPr>
    <tabColor rgb="FF0000FF"/>
  </sheetPr>
  <dimension ref="B1:L5"/>
  <sheetViews>
    <sheetView zoomScale="130" zoomScaleNormal="130" workbookViewId="0">
      <selection activeCell="B6" sqref="B6"/>
    </sheetView>
  </sheetViews>
  <sheetFormatPr defaultRowHeight="15" x14ac:dyDescent="0.25"/>
  <cols>
    <col min="2" max="2" width="22.5703125" bestFit="1" customWidth="1"/>
    <col min="3" max="3" width="19.140625" customWidth="1"/>
    <col min="4" max="4" width="13.7109375" customWidth="1"/>
    <col min="5" max="5" width="19.5703125" customWidth="1"/>
    <col min="6" max="7" width="16.140625" customWidth="1"/>
    <col min="8" max="8" width="14.85546875" customWidth="1"/>
    <col min="10" max="10" width="9.7109375" customWidth="1"/>
    <col min="11" max="11" width="18.140625" bestFit="1" customWidth="1"/>
  </cols>
  <sheetData>
    <row r="1" spans="2:12" x14ac:dyDescent="0.25">
      <c r="B1" s="139" t="s">
        <v>331</v>
      </c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2:12" x14ac:dyDescent="0.25">
      <c r="B2" s="58" t="s">
        <v>333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2:12" x14ac:dyDescent="0.25">
      <c r="B3" s="58" t="s">
        <v>334</v>
      </c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2:12" x14ac:dyDescent="0.25">
      <c r="B4" s="58" t="s">
        <v>335</v>
      </c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2:12" x14ac:dyDescent="0.25">
      <c r="B5" s="127" t="s">
        <v>498</v>
      </c>
      <c r="C5" s="46"/>
      <c r="D5" s="46"/>
      <c r="E5" s="46"/>
      <c r="F5" s="46"/>
      <c r="G5" s="46"/>
      <c r="H5" s="46"/>
      <c r="I5" s="46"/>
      <c r="J5" s="46"/>
      <c r="K5" s="46"/>
      <c r="L5" s="47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3FEB6-9659-4182-867C-6CEC0995EA9C}">
  <sheetPr>
    <tabColor rgb="FFFF0000"/>
  </sheetPr>
  <dimension ref="A1:L40"/>
  <sheetViews>
    <sheetView zoomScaleNormal="100" workbookViewId="0">
      <selection activeCell="D15" sqref="D15"/>
    </sheetView>
  </sheetViews>
  <sheetFormatPr defaultRowHeight="15" x14ac:dyDescent="0.25"/>
  <cols>
    <col min="2" max="2" width="22.5703125" bestFit="1" customWidth="1"/>
    <col min="3" max="3" width="19.140625" customWidth="1"/>
    <col min="4" max="4" width="13.7109375" customWidth="1"/>
    <col min="5" max="5" width="19.5703125" customWidth="1"/>
    <col min="6" max="7" width="16.140625" customWidth="1"/>
    <col min="8" max="8" width="14.85546875" customWidth="1"/>
    <col min="9" max="9" width="14.28515625" bestFit="1" customWidth="1"/>
    <col min="10" max="10" width="28.5703125" bestFit="1" customWidth="1"/>
    <col min="11" max="11" width="18.140625" bestFit="1" customWidth="1"/>
  </cols>
  <sheetData>
    <row r="1" spans="2:12" x14ac:dyDescent="0.25">
      <c r="B1" s="139" t="s">
        <v>331</v>
      </c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2:12" x14ac:dyDescent="0.25">
      <c r="B2" s="58" t="str">
        <f>B11&amp;" "&amp;D7&amp;" pay is "&amp;DOLLAR(E11,4)&amp;" each"</f>
        <v>1 - 500 Avocados pay is $0.0650 each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2:12" x14ac:dyDescent="0.25">
      <c r="B3" s="58" t="str">
        <f t="shared" ref="B3:B4" si="0">B12&amp;" "&amp;D8&amp;" pay is "&amp;DOLLAR(E12,4)&amp;" each"</f>
        <v>501 - 700  pay is $0.0875 each</v>
      </c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2:12" x14ac:dyDescent="0.25">
      <c r="B4" s="58" t="str">
        <f t="shared" si="0"/>
        <v>701 - or more 2 pay is $0.1125 each</v>
      </c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2:12" x14ac:dyDescent="0.25">
      <c r="B5" s="127"/>
      <c r="C5" s="46"/>
      <c r="D5" s="46"/>
      <c r="E5" s="46"/>
      <c r="F5" s="46"/>
      <c r="G5" s="46"/>
      <c r="H5" s="46"/>
      <c r="I5" s="46"/>
      <c r="J5" s="46"/>
      <c r="K5" s="46"/>
      <c r="L5" s="47"/>
    </row>
    <row r="7" spans="2:12" x14ac:dyDescent="0.25">
      <c r="C7" s="140" t="s">
        <v>313</v>
      </c>
      <c r="D7" s="40" t="s">
        <v>326</v>
      </c>
    </row>
    <row r="9" spans="2:12" x14ac:dyDescent="0.25">
      <c r="B9" s="81" t="s">
        <v>327</v>
      </c>
      <c r="C9" s="79">
        <v>1</v>
      </c>
      <c r="D9" s="79">
        <v>2</v>
      </c>
      <c r="E9" s="79">
        <v>3</v>
      </c>
      <c r="F9" s="79">
        <v>4</v>
      </c>
      <c r="G9" s="79">
        <v>5</v>
      </c>
    </row>
    <row r="10" spans="2:12" ht="60" x14ac:dyDescent="0.25">
      <c r="B10" s="140" t="s">
        <v>102</v>
      </c>
      <c r="C10" s="140" t="s">
        <v>293</v>
      </c>
      <c r="D10" s="140" t="s">
        <v>294</v>
      </c>
      <c r="E10" s="142" t="str">
        <f>"Pay per 1 "&amp;SUBSTITUTE(D7,"s","")</f>
        <v>Pay per 1 Avocado</v>
      </c>
      <c r="F10" s="64" t="s">
        <v>330</v>
      </c>
      <c r="G10" s="64" t="s">
        <v>163</v>
      </c>
    </row>
    <row r="11" spans="2:12" x14ac:dyDescent="0.25">
      <c r="B11" s="60" t="str">
        <f t="shared" ref="B11:B13" si="1">C11&amp;" - "&amp;D11</f>
        <v>1 - 500</v>
      </c>
      <c r="C11" s="40">
        <v>1</v>
      </c>
      <c r="D11" s="40">
        <v>500</v>
      </c>
      <c r="E11" s="143">
        <v>6.5000000000000002E-2</v>
      </c>
      <c r="F11" s="40"/>
      <c r="G11" s="40"/>
      <c r="I11" s="80" t="str">
        <f>"Formula is "&amp;ADDRESS(ROW(F12),COLUMN(F12),4)&amp;":"</f>
        <v>Formula is F12:</v>
      </c>
      <c r="J11" s="80" t="str">
        <f>"Formula is "&amp;ADDRESS(ROW(G12),COLUMN(G12),4)&amp;":"</f>
        <v>Formula is G12:</v>
      </c>
    </row>
    <row r="12" spans="2:12" x14ac:dyDescent="0.25">
      <c r="B12" s="60" t="str">
        <f t="shared" si="1"/>
        <v>501 - 700</v>
      </c>
      <c r="C12" s="40">
        <f>D11+1</f>
        <v>501</v>
      </c>
      <c r="D12" s="40">
        <v>700</v>
      </c>
      <c r="E12" s="143">
        <v>8.7499999999999994E-2</v>
      </c>
      <c r="F12" s="60">
        <f>D11</f>
        <v>500</v>
      </c>
      <c r="G12" s="67">
        <f>ROUND((F12-F11)*E11,2)+G11</f>
        <v>32.5</v>
      </c>
      <c r="I12" t="str">
        <f ca="1">IF(_xlfn.ISFORMULA(F12),_xlfn.FORMULATEXT(F12),"")</f>
        <v>=D11</v>
      </c>
      <c r="J12" t="str">
        <f ca="1">IF(_xlfn.ISFORMULA(G12),_xlfn.FORMULATEXT(G12),"")</f>
        <v>=ROUND((F12-F11)*E11,2)+G11</v>
      </c>
    </row>
    <row r="13" spans="2:12" x14ac:dyDescent="0.25">
      <c r="B13" s="60" t="str">
        <f t="shared" si="1"/>
        <v>701 - or more</v>
      </c>
      <c r="C13" s="40">
        <f>D12+1</f>
        <v>701</v>
      </c>
      <c r="D13" s="40" t="s">
        <v>318</v>
      </c>
      <c r="E13" s="143">
        <v>0.1125</v>
      </c>
      <c r="F13" s="60">
        <f>D12</f>
        <v>700</v>
      </c>
      <c r="G13" s="67">
        <f>ROUND((F13-F12)*E12,2)+G12</f>
        <v>50</v>
      </c>
    </row>
    <row r="15" spans="2:12" x14ac:dyDescent="0.25">
      <c r="B15" s="140" t="s">
        <v>319</v>
      </c>
      <c r="C15" s="76">
        <v>1408</v>
      </c>
    </row>
    <row r="16" spans="2:12" x14ac:dyDescent="0.25">
      <c r="B16" s="140" t="s">
        <v>110</v>
      </c>
      <c r="C16" s="67">
        <f>G13+(C15-F13)*E13</f>
        <v>129.65</v>
      </c>
      <c r="E16" t="str">
        <f ca="1">IF(_xlfn.ISFORMULA(C16),_xlfn.FORMULATEXT(C16),"")</f>
        <v>=G13+(C15-F13)*E13</v>
      </c>
    </row>
    <row r="17" spans="1:11" x14ac:dyDescent="0.25">
      <c r="D17" t="s">
        <v>329</v>
      </c>
    </row>
    <row r="18" spans="1:11" ht="45" x14ac:dyDescent="0.25">
      <c r="A18">
        <v>5</v>
      </c>
      <c r="B18" s="142" t="str">
        <f>INDEX($E$10:$G$10,ROWS(B18:$B$20))</f>
        <v>Earnings Made Through Previous Category</v>
      </c>
      <c r="C18" s="67">
        <f>VLOOKUP($C$15,$C$11:$G$13,A18)</f>
        <v>50</v>
      </c>
      <c r="E18" t="str">
        <f t="shared" ref="E18:E21" ca="1" si="2">IF(_xlfn.ISFORMULA(C18),_xlfn.FORMULATEXT(C18),"")</f>
        <v>=VLOOKUP($C$15,$C$11:$G$13,A18)</v>
      </c>
    </row>
    <row r="19" spans="1:11" ht="30" x14ac:dyDescent="0.25">
      <c r="A19">
        <v>4</v>
      </c>
      <c r="B19" s="142" t="str">
        <f>INDEX($E$10:$G$10,ROWS(B19:$B$20))</f>
        <v>Number Picked Through Previous Category</v>
      </c>
      <c r="C19" s="54">
        <f t="shared" ref="C19:C20" si="3">VLOOKUP($C$15,$C$11:$G$13,A19)</f>
        <v>700</v>
      </c>
      <c r="E19" t="str">
        <f t="shared" ca="1" si="2"/>
        <v>=VLOOKUP($C$15,$C$11:$G$13,A19)</v>
      </c>
    </row>
    <row r="20" spans="1:11" x14ac:dyDescent="0.25">
      <c r="A20">
        <v>3</v>
      </c>
      <c r="B20" s="140" t="str">
        <f>INDEX($E$10:$G$10,ROWS(B20:$B$20))</f>
        <v>Pay per 1 Avocado</v>
      </c>
      <c r="C20" s="67">
        <f t="shared" si="3"/>
        <v>0.1125</v>
      </c>
      <c r="E20" t="str">
        <f t="shared" ca="1" si="2"/>
        <v>=VLOOKUP($C$15,$C$11:$G$13,A20)</v>
      </c>
    </row>
    <row r="21" spans="1:11" x14ac:dyDescent="0.25">
      <c r="B21" s="140" t="s">
        <v>110</v>
      </c>
      <c r="C21" s="67">
        <f>C18+(C15-C19)*C20</f>
        <v>129.65</v>
      </c>
      <c r="E21" t="str">
        <f t="shared" ca="1" si="2"/>
        <v>=C18+(C15-C19)*C20</v>
      </c>
    </row>
    <row r="22" spans="1:11" x14ac:dyDescent="0.25">
      <c r="B22" s="140" t="s">
        <v>110</v>
      </c>
      <c r="C22" s="67">
        <f>VLOOKUP(C15,C11:G13,5)+(C15-VLOOKUP(C15,C11:G13,4))*VLOOKUP(C15,C11:G13,3)</f>
        <v>129.65</v>
      </c>
      <c r="E22" t="str">
        <f ca="1">IF(_xlfn.ISFORMULA(C22),_xlfn.FORMULATEXT(C22),"")</f>
        <v>=VLOOKUP(C15,C11:G13,5)+(C15-VLOOKUP(C15,C11:G13,4))*VLOOKUP(C15,C11:G13,3)</v>
      </c>
    </row>
    <row r="24" spans="1:11" x14ac:dyDescent="0.25">
      <c r="B24" s="141" t="s">
        <v>328</v>
      </c>
      <c r="C24" s="116"/>
      <c r="D24" s="116"/>
      <c r="E24" s="116"/>
      <c r="F24" s="116"/>
      <c r="G24" s="116"/>
      <c r="H24" s="116"/>
      <c r="I24" s="116"/>
      <c r="J24" s="116"/>
      <c r="K24" s="116"/>
    </row>
    <row r="26" spans="1:11" ht="30" x14ac:dyDescent="0.25">
      <c r="B26" s="132" t="s">
        <v>102</v>
      </c>
      <c r="C26" s="133" t="s">
        <v>314</v>
      </c>
      <c r="D26" s="133" t="s">
        <v>315</v>
      </c>
      <c r="E26" s="133" t="s">
        <v>316</v>
      </c>
      <c r="F26" s="133" t="s">
        <v>317</v>
      </c>
    </row>
    <row r="27" spans="1:11" x14ac:dyDescent="0.25">
      <c r="B27" s="40" t="str">
        <f>C11&amp;" - "&amp;D11&amp;" "&amp;$D$7</f>
        <v>1 - 500 Avocados</v>
      </c>
      <c r="C27" s="40">
        <f t="shared" ref="C27:D29" si="4">C11</f>
        <v>1</v>
      </c>
      <c r="D27" s="40">
        <f t="shared" si="4"/>
        <v>500</v>
      </c>
      <c r="E27" s="137">
        <v>6.5000000000000002E-2</v>
      </c>
      <c r="F27" s="40">
        <f>C28-C27</f>
        <v>500</v>
      </c>
    </row>
    <row r="28" spans="1:11" x14ac:dyDescent="0.25">
      <c r="B28" s="40" t="str">
        <f>C12&amp;" - "&amp;D12&amp;" "&amp;$D$7</f>
        <v>501 - 700 Avocados</v>
      </c>
      <c r="C28" s="40">
        <f t="shared" si="4"/>
        <v>501</v>
      </c>
      <c r="D28" s="40">
        <f t="shared" si="4"/>
        <v>700</v>
      </c>
      <c r="E28" s="137">
        <v>8.7499999999999994E-2</v>
      </c>
      <c r="F28" s="40">
        <f>C29-C28</f>
        <v>200</v>
      </c>
    </row>
    <row r="29" spans="1:11" x14ac:dyDescent="0.25">
      <c r="B29" s="40" t="str">
        <f>C13&amp;" "&amp;D13&amp;" "&amp;$D$7</f>
        <v>701 or more Avocados</v>
      </c>
      <c r="C29" s="40">
        <f t="shared" si="4"/>
        <v>701</v>
      </c>
      <c r="D29" s="40" t="str">
        <f t="shared" si="4"/>
        <v>or more</v>
      </c>
      <c r="E29" s="137">
        <v>0.1125</v>
      </c>
      <c r="F29" s="40" t="s">
        <v>299</v>
      </c>
    </row>
    <row r="32" spans="1:11" x14ac:dyDescent="0.25">
      <c r="B32" s="81"/>
      <c r="C32" s="132" t="s">
        <v>320</v>
      </c>
      <c r="D32" s="132" t="s">
        <v>316</v>
      </c>
      <c r="E32" s="132" t="s">
        <v>321</v>
      </c>
    </row>
    <row r="33" spans="2:7" x14ac:dyDescent="0.25">
      <c r="B33" t="s">
        <v>322</v>
      </c>
      <c r="C33" s="40">
        <f>F27</f>
        <v>500</v>
      </c>
      <c r="D33" s="137">
        <f>E27</f>
        <v>6.5000000000000002E-2</v>
      </c>
      <c r="E33" s="67">
        <f>ROUND(D33*C33,2)</f>
        <v>32.5</v>
      </c>
    </row>
    <row r="34" spans="2:7" x14ac:dyDescent="0.25">
      <c r="B34" s="138" t="s">
        <v>323</v>
      </c>
      <c r="C34" s="60">
        <f>C15-C33</f>
        <v>908</v>
      </c>
      <c r="D34" s="40"/>
      <c r="E34" s="40"/>
    </row>
    <row r="35" spans="2:7" x14ac:dyDescent="0.25">
      <c r="B35" t="s">
        <v>324</v>
      </c>
      <c r="C35" s="40">
        <f>F28</f>
        <v>200</v>
      </c>
      <c r="D35" s="137">
        <f>E28</f>
        <v>8.7499999999999994E-2</v>
      </c>
      <c r="E35" s="67">
        <f>ROUND(D35*C35,2)</f>
        <v>17.5</v>
      </c>
    </row>
    <row r="36" spans="2:7" x14ac:dyDescent="0.25">
      <c r="B36" s="138" t="s">
        <v>323</v>
      </c>
      <c r="C36" s="60">
        <f>C34-C35</f>
        <v>708</v>
      </c>
      <c r="D36" s="40"/>
      <c r="E36" s="40"/>
    </row>
    <row r="37" spans="2:7" x14ac:dyDescent="0.25">
      <c r="B37" t="s">
        <v>325</v>
      </c>
      <c r="C37" s="40">
        <f>C36</f>
        <v>708</v>
      </c>
      <c r="D37" s="137">
        <f>E29</f>
        <v>0.1125</v>
      </c>
      <c r="E37" s="67">
        <f>ROUND(D37*C37,2)</f>
        <v>79.650000000000006</v>
      </c>
    </row>
    <row r="39" spans="2:7" x14ac:dyDescent="0.25">
      <c r="D39" s="40" t="s">
        <v>291</v>
      </c>
      <c r="E39" s="67">
        <f>E37+E35+E33</f>
        <v>129.65</v>
      </c>
      <c r="G39" t="str">
        <f t="shared" ref="G39:G40" ca="1" si="5">IF(_xlfn.ISFORMULA(E39),_xlfn.FORMULATEXT(E39),"")</f>
        <v>=E37+E35+E33</v>
      </c>
    </row>
    <row r="40" spans="2:7" x14ac:dyDescent="0.25">
      <c r="D40" s="40" t="s">
        <v>292</v>
      </c>
      <c r="E40" s="67">
        <f>ROUND(F27*E27,2)+ROUND(F28*E28,2)+ROUND((C15-D28)*E29,2)</f>
        <v>129.65</v>
      </c>
      <c r="G40" t="str">
        <f t="shared" ca="1" si="5"/>
        <v>=ROUND(F27*E27,2)+ROUND(F28*E28,2)+ROUND((C15-D28)*E29,2)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CAC49-A27F-422E-9984-2C31BE079BAD}">
  <sheetPr>
    <tabColor rgb="FF0000FF"/>
  </sheetPr>
  <dimension ref="B1:L36"/>
  <sheetViews>
    <sheetView zoomScaleNormal="100" workbookViewId="0">
      <selection activeCell="B10" sqref="B10"/>
    </sheetView>
  </sheetViews>
  <sheetFormatPr defaultRowHeight="15" x14ac:dyDescent="0.25"/>
  <cols>
    <col min="2" max="2" width="20.28515625" customWidth="1"/>
    <col min="3" max="3" width="16.85546875" customWidth="1"/>
    <col min="4" max="4" width="33.28515625" bestFit="1" customWidth="1"/>
    <col min="5" max="6" width="33" bestFit="1" customWidth="1"/>
    <col min="7" max="7" width="28.7109375" bestFit="1" customWidth="1"/>
    <col min="8" max="10" width="10.42578125" customWidth="1"/>
    <col min="11" max="11" width="18.140625" bestFit="1" customWidth="1"/>
    <col min="12" max="12" width="19.140625" bestFit="1" customWidth="1"/>
  </cols>
  <sheetData>
    <row r="1" spans="2:12" x14ac:dyDescent="0.25">
      <c r="B1" s="139" t="s">
        <v>332</v>
      </c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2:12" x14ac:dyDescent="0.25">
      <c r="B2" s="58" t="s">
        <v>351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2:12" x14ac:dyDescent="0.25">
      <c r="B3" s="58" t="s">
        <v>352</v>
      </c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2:12" x14ac:dyDescent="0.25">
      <c r="B4" s="58" t="s">
        <v>353</v>
      </c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2:12" x14ac:dyDescent="0.25">
      <c r="B5" s="58" t="s">
        <v>354</v>
      </c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2:12" x14ac:dyDescent="0.25">
      <c r="B6" s="58" t="s">
        <v>355</v>
      </c>
      <c r="C6" s="44"/>
      <c r="D6" s="44"/>
      <c r="E6" s="44"/>
      <c r="F6" s="44"/>
      <c r="G6" s="44"/>
      <c r="H6" s="44"/>
      <c r="I6" s="44"/>
      <c r="J6" s="44"/>
      <c r="K6" s="44"/>
      <c r="L6" s="45"/>
    </row>
    <row r="7" spans="2:12" x14ac:dyDescent="0.25">
      <c r="B7" s="58"/>
      <c r="C7" s="44"/>
      <c r="D7" s="44"/>
      <c r="E7" s="44"/>
      <c r="F7" s="44"/>
      <c r="G7" s="44"/>
      <c r="H7" s="44"/>
      <c r="I7" s="44"/>
      <c r="J7" s="44"/>
      <c r="K7" s="44"/>
      <c r="L7" s="45"/>
    </row>
    <row r="8" spans="2:12" x14ac:dyDescent="0.25">
      <c r="B8" s="127"/>
      <c r="C8" s="46"/>
      <c r="D8" s="46"/>
      <c r="E8" s="46"/>
      <c r="F8" s="46"/>
      <c r="G8" s="46"/>
      <c r="H8" s="46"/>
      <c r="I8" s="46"/>
      <c r="J8" s="46"/>
      <c r="K8" s="46"/>
      <c r="L8" s="47"/>
    </row>
    <row r="23" spans="2:3" x14ac:dyDescent="0.25">
      <c r="B23" s="64" t="s">
        <v>336</v>
      </c>
      <c r="C23" s="64" t="s">
        <v>319</v>
      </c>
    </row>
    <row r="24" spans="2:3" x14ac:dyDescent="0.25">
      <c r="B24" s="40" t="s">
        <v>337</v>
      </c>
      <c r="C24" s="40">
        <v>1510</v>
      </c>
    </row>
    <row r="25" spans="2:3" x14ac:dyDescent="0.25">
      <c r="B25" s="40" t="s">
        <v>338</v>
      </c>
      <c r="C25" s="40">
        <v>987</v>
      </c>
    </row>
    <row r="26" spans="2:3" x14ac:dyDescent="0.25">
      <c r="B26" s="40" t="s">
        <v>339</v>
      </c>
      <c r="C26" s="40">
        <v>1285</v>
      </c>
    </row>
    <row r="27" spans="2:3" x14ac:dyDescent="0.25">
      <c r="B27" s="40" t="s">
        <v>340</v>
      </c>
      <c r="C27" s="40">
        <v>875</v>
      </c>
    </row>
    <row r="28" spans="2:3" x14ac:dyDescent="0.25">
      <c r="B28" s="40" t="s">
        <v>341</v>
      </c>
      <c r="C28" s="40">
        <v>673</v>
      </c>
    </row>
    <row r="29" spans="2:3" x14ac:dyDescent="0.25">
      <c r="B29" s="40" t="s">
        <v>342</v>
      </c>
      <c r="C29" s="40">
        <v>1482</v>
      </c>
    </row>
    <row r="30" spans="2:3" x14ac:dyDescent="0.25">
      <c r="B30" s="40" t="s">
        <v>343</v>
      </c>
      <c r="C30" s="40">
        <v>587</v>
      </c>
    </row>
    <row r="31" spans="2:3" x14ac:dyDescent="0.25">
      <c r="B31" s="40" t="s">
        <v>344</v>
      </c>
      <c r="C31" s="40">
        <v>858</v>
      </c>
    </row>
    <row r="32" spans="2:3" x14ac:dyDescent="0.25">
      <c r="B32" s="40" t="s">
        <v>345</v>
      </c>
      <c r="C32" s="40">
        <v>1481</v>
      </c>
    </row>
    <row r="33" spans="2:3" x14ac:dyDescent="0.25">
      <c r="B33" s="40" t="s">
        <v>346</v>
      </c>
      <c r="C33" s="40">
        <v>874</v>
      </c>
    </row>
    <row r="34" spans="2:3" x14ac:dyDescent="0.25">
      <c r="B34" s="40" t="s">
        <v>347</v>
      </c>
      <c r="C34" s="40">
        <v>1024</v>
      </c>
    </row>
    <row r="35" spans="2:3" x14ac:dyDescent="0.25">
      <c r="B35" s="40" t="s">
        <v>348</v>
      </c>
      <c r="C35" s="40">
        <v>950</v>
      </c>
    </row>
    <row r="36" spans="2:3" x14ac:dyDescent="0.25">
      <c r="B36" s="40" t="s">
        <v>349</v>
      </c>
      <c r="C36" s="52">
        <v>598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407EB-F9BA-4B94-9F41-847498CAA7D4}">
  <sheetPr>
    <tabColor rgb="FFFF0000"/>
  </sheetPr>
  <dimension ref="B1:L36"/>
  <sheetViews>
    <sheetView zoomScale="85" zoomScaleNormal="85" workbookViewId="0">
      <selection activeCell="B10" sqref="B10"/>
    </sheetView>
  </sheetViews>
  <sheetFormatPr defaultRowHeight="15" x14ac:dyDescent="0.25"/>
  <cols>
    <col min="2" max="2" width="20.28515625" customWidth="1"/>
    <col min="3" max="3" width="16.85546875" customWidth="1"/>
    <col min="4" max="4" width="33.28515625" bestFit="1" customWidth="1"/>
    <col min="5" max="6" width="33" bestFit="1" customWidth="1"/>
    <col min="7" max="7" width="28.7109375" bestFit="1" customWidth="1"/>
    <col min="8" max="10" width="10.42578125" customWidth="1"/>
    <col min="11" max="11" width="18.140625" bestFit="1" customWidth="1"/>
    <col min="12" max="12" width="19.140625" bestFit="1" customWidth="1"/>
  </cols>
  <sheetData>
    <row r="1" spans="2:12" x14ac:dyDescent="0.25">
      <c r="B1" s="139" t="s">
        <v>332</v>
      </c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2:12" x14ac:dyDescent="0.25">
      <c r="B2" s="58" t="str">
        <f>B14&amp;" "&amp;D10&amp;" pay is "&amp;DOLLAR(E14,4)&amp;" each"</f>
        <v>1 - 250 Avocados pay is $0.0750 each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2:12" x14ac:dyDescent="0.25">
      <c r="B3" s="58" t="str">
        <f>B15&amp;" "&amp;D11&amp;" pay is "&amp;DOLLAR(E15,4)&amp;" each"</f>
        <v>251 - 500  pay is $0.0875 each</v>
      </c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2:12" x14ac:dyDescent="0.25">
      <c r="B4" s="58" t="str">
        <f>B16&amp;" "&amp;D12&amp;" pay is "&amp;DOLLAR(E16,4)&amp;" each"</f>
        <v>501 - 700 2 pay is $0.0950 each</v>
      </c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2:12" x14ac:dyDescent="0.25">
      <c r="B5" s="58" t="str">
        <f>B17&amp;" "&amp;D13&amp;" pay is "&amp;DOLLAR(E17,4)&amp;" each"</f>
        <v>701 - 1000 Upper pay is $0.1200 each</v>
      </c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2:12" x14ac:dyDescent="0.25">
      <c r="B6" s="58" t="str">
        <f>B18&amp;" "&amp;D14&amp;" pay is "&amp;DOLLAR(E18,4)&amp;" each"</f>
        <v>1001 - or more 250 pay is $0.1300 each</v>
      </c>
      <c r="C6" s="44"/>
      <c r="D6" s="44"/>
      <c r="E6" s="44"/>
      <c r="F6" s="44"/>
      <c r="G6" s="44"/>
      <c r="H6" s="44"/>
      <c r="I6" s="44"/>
      <c r="J6" s="44"/>
      <c r="K6" s="44"/>
      <c r="L6" s="45"/>
    </row>
    <row r="7" spans="2:12" x14ac:dyDescent="0.25">
      <c r="B7" s="58"/>
      <c r="C7" s="44"/>
      <c r="D7" s="44"/>
      <c r="E7" s="44"/>
      <c r="F7" s="44"/>
      <c r="G7" s="44"/>
      <c r="H7" s="44"/>
      <c r="I7" s="44"/>
      <c r="J7" s="44"/>
      <c r="K7" s="44"/>
      <c r="L7" s="45"/>
    </row>
    <row r="8" spans="2:12" x14ac:dyDescent="0.25">
      <c r="B8" s="127"/>
      <c r="C8" s="46"/>
      <c r="D8" s="46"/>
      <c r="E8" s="46"/>
      <c r="F8" s="46"/>
      <c r="G8" s="46"/>
      <c r="H8" s="46"/>
      <c r="I8" s="46"/>
      <c r="J8" s="46"/>
      <c r="K8" s="46"/>
      <c r="L8" s="47"/>
    </row>
    <row r="10" spans="2:12" x14ac:dyDescent="0.25">
      <c r="C10" s="140" t="s">
        <v>313</v>
      </c>
      <c r="D10" s="40" t="s">
        <v>326</v>
      </c>
    </row>
    <row r="12" spans="2:12" x14ac:dyDescent="0.25">
      <c r="B12" s="81" t="s">
        <v>327</v>
      </c>
      <c r="C12" s="79">
        <v>1</v>
      </c>
      <c r="D12" s="79">
        <v>2</v>
      </c>
      <c r="E12" s="79">
        <v>3</v>
      </c>
      <c r="F12" s="79">
        <v>4</v>
      </c>
      <c r="G12" s="79">
        <v>5</v>
      </c>
    </row>
    <row r="13" spans="2:12" ht="45" x14ac:dyDescent="0.25">
      <c r="B13" s="140" t="s">
        <v>102</v>
      </c>
      <c r="C13" s="140" t="s">
        <v>293</v>
      </c>
      <c r="D13" s="140" t="s">
        <v>294</v>
      </c>
      <c r="E13" s="142" t="str">
        <f>"Pay per 1 "&amp;SUBSTITUTE(D10,"s","")</f>
        <v>Pay per 1 Avocado</v>
      </c>
      <c r="F13" s="64" t="s">
        <v>330</v>
      </c>
      <c r="G13" s="64" t="s">
        <v>163</v>
      </c>
    </row>
    <row r="14" spans="2:12" x14ac:dyDescent="0.25">
      <c r="B14" s="60" t="str">
        <f t="shared" ref="B14:B18" si="0">C14&amp;" - "&amp;D14</f>
        <v>1 - 250</v>
      </c>
      <c r="C14" s="40">
        <v>1</v>
      </c>
      <c r="D14" s="40">
        <v>250</v>
      </c>
      <c r="E14" s="143">
        <v>7.4999999999999997E-2</v>
      </c>
      <c r="F14" s="40"/>
      <c r="G14" s="40"/>
    </row>
    <row r="15" spans="2:12" x14ac:dyDescent="0.25">
      <c r="B15" s="60" t="str">
        <f t="shared" si="0"/>
        <v>251 - 500</v>
      </c>
      <c r="C15" s="40">
        <f>D14+1</f>
        <v>251</v>
      </c>
      <c r="D15" s="40">
        <v>500</v>
      </c>
      <c r="E15" s="143">
        <v>8.7499999999999994E-2</v>
      </c>
      <c r="F15" s="60">
        <f>D14</f>
        <v>250</v>
      </c>
      <c r="G15" s="67">
        <f>ROUND((F15-F14)*E14,2)+G14</f>
        <v>18.75</v>
      </c>
    </row>
    <row r="16" spans="2:12" x14ac:dyDescent="0.25">
      <c r="B16" s="60" t="str">
        <f t="shared" si="0"/>
        <v>501 - 700</v>
      </c>
      <c r="C16" s="40">
        <f t="shared" ref="C16:C18" si="1">D15+1</f>
        <v>501</v>
      </c>
      <c r="D16" s="40">
        <v>700</v>
      </c>
      <c r="E16" s="143">
        <v>9.5000000000000001E-2</v>
      </c>
      <c r="F16" s="60">
        <f t="shared" ref="F16:F18" si="2">D15</f>
        <v>500</v>
      </c>
      <c r="G16" s="67">
        <f t="shared" ref="G16:G18" si="3">ROUND((F16-F15)*E15,2)+G15</f>
        <v>40.629999999999995</v>
      </c>
    </row>
    <row r="17" spans="2:11" x14ac:dyDescent="0.25">
      <c r="B17" s="60" t="str">
        <f t="shared" si="0"/>
        <v>701 - 1000</v>
      </c>
      <c r="C17" s="40">
        <f t="shared" si="1"/>
        <v>701</v>
      </c>
      <c r="D17" s="40">
        <v>1000</v>
      </c>
      <c r="E17" s="143">
        <v>0.12</v>
      </c>
      <c r="F17" s="60">
        <f t="shared" si="2"/>
        <v>700</v>
      </c>
      <c r="G17" s="67">
        <f t="shared" si="3"/>
        <v>59.629999999999995</v>
      </c>
    </row>
    <row r="18" spans="2:11" x14ac:dyDescent="0.25">
      <c r="B18" s="60" t="str">
        <f t="shared" si="0"/>
        <v>1001 - or more</v>
      </c>
      <c r="C18" s="40">
        <f t="shared" si="1"/>
        <v>1001</v>
      </c>
      <c r="D18" s="40" t="s">
        <v>318</v>
      </c>
      <c r="E18" s="143">
        <v>0.13</v>
      </c>
      <c r="F18" s="60">
        <f t="shared" si="2"/>
        <v>1000</v>
      </c>
      <c r="G18" s="67">
        <f t="shared" si="3"/>
        <v>95.63</v>
      </c>
    </row>
    <row r="20" spans="2:11" x14ac:dyDescent="0.25">
      <c r="D20" s="80" t="str">
        <f t="shared" ref="D20:G20" si="4">"Formula is "&amp;ADDRESS(ROW(D24),COLUMN(D24),4)&amp;":"</f>
        <v>Formula is D24:</v>
      </c>
      <c r="E20" s="80" t="str">
        <f t="shared" si="4"/>
        <v>Formula is E24:</v>
      </c>
      <c r="F20" s="80" t="str">
        <f t="shared" si="4"/>
        <v>Formula is F24:</v>
      </c>
      <c r="G20" s="80" t="str">
        <f t="shared" si="4"/>
        <v>Formula is G24:</v>
      </c>
    </row>
    <row r="21" spans="2:11" x14ac:dyDescent="0.25">
      <c r="D21" t="str">
        <f t="shared" ref="D21:G21" ca="1" si="5">IF(_xlfn.ISFORMULA(D24),_xlfn.FORMULATEXT(D24),"")</f>
        <v>=VLOOKUP($C24,$C$14:$G$18,D$22)</v>
      </c>
      <c r="E21" t="str">
        <f t="shared" ca="1" si="5"/>
        <v>=VLOOKUP($C24,$C$14:$G$18,E$22)</v>
      </c>
      <c r="F21" t="str">
        <f t="shared" ca="1" si="5"/>
        <v>=VLOOKUP($C24,$C$14:$G$18,F$22)</v>
      </c>
      <c r="G21" t="str">
        <f t="shared" ca="1" si="5"/>
        <v>=D24+ROUND((C24-E24)*F24,2)</v>
      </c>
    </row>
    <row r="22" spans="2:11" x14ac:dyDescent="0.25">
      <c r="D22">
        <v>5</v>
      </c>
      <c r="E22">
        <v>4</v>
      </c>
      <c r="F22">
        <v>3</v>
      </c>
    </row>
    <row r="23" spans="2:11" ht="45" x14ac:dyDescent="0.25">
      <c r="B23" s="64" t="s">
        <v>336</v>
      </c>
      <c r="C23" s="64" t="s">
        <v>319</v>
      </c>
      <c r="D23" s="64" t="str">
        <f>G13</f>
        <v>Earnings Made Through Previous Category</v>
      </c>
      <c r="E23" s="64" t="str">
        <f>F13</f>
        <v>Number Picked Through Previous Category</v>
      </c>
      <c r="F23" s="64" t="str">
        <f>E13</f>
        <v>Pay per 1 Avocado</v>
      </c>
      <c r="G23" s="64" t="s">
        <v>110</v>
      </c>
      <c r="I23" t="s">
        <v>292</v>
      </c>
      <c r="J23" t="s">
        <v>350</v>
      </c>
    </row>
    <row r="24" spans="2:11" x14ac:dyDescent="0.25">
      <c r="B24" s="40" t="s">
        <v>337</v>
      </c>
      <c r="C24" s="40">
        <v>1510</v>
      </c>
      <c r="D24" s="60">
        <f>VLOOKUP($C24,$C$14:$G$18,D$22)</f>
        <v>95.63</v>
      </c>
      <c r="E24" s="60">
        <f t="shared" ref="E24:F36" si="6">VLOOKUP($C24,$C$14:$G$18,E$22)</f>
        <v>1000</v>
      </c>
      <c r="F24" s="60">
        <f t="shared" si="6"/>
        <v>0.13</v>
      </c>
      <c r="G24" s="60">
        <f t="shared" ref="G24:G36" si="7">D24+ROUND((C24-E24)*F24,2)</f>
        <v>161.93</v>
      </c>
      <c r="I24" s="67">
        <f>VLOOKUP(C24,$C$14:$G$18,5)+ROUND((C24-VLOOKUP(C24,$C$14:$G$18,4))*VLOOKUP(C24,$C$14:$G$18,3),2)</f>
        <v>161.93</v>
      </c>
      <c r="J24" t="str">
        <f ca="1">IF(_xlfn.ISFORMULA(I24),_xlfn.FORMULATEXT(I24),"")</f>
        <v>=VLOOKUP(C24,$C$14:$G$18,5)+ROUND((C24-VLOOKUP(C24,$C$14:$G$18,4))*VLOOKUP(C24,$C$14:$G$18,3),2)</v>
      </c>
    </row>
    <row r="25" spans="2:11" x14ac:dyDescent="0.25">
      <c r="B25" s="40" t="s">
        <v>338</v>
      </c>
      <c r="C25" s="40">
        <v>987</v>
      </c>
      <c r="D25" s="60">
        <f t="shared" ref="D25:D36" si="8">VLOOKUP($C25,$C$14:$G$18,D$22)</f>
        <v>59.629999999999995</v>
      </c>
      <c r="E25" s="60">
        <f t="shared" si="6"/>
        <v>700</v>
      </c>
      <c r="F25" s="60">
        <f t="shared" si="6"/>
        <v>0.12</v>
      </c>
      <c r="G25" s="60">
        <f t="shared" si="7"/>
        <v>94.07</v>
      </c>
      <c r="I25" s="67">
        <f t="shared" ref="I25:I36" si="9">VLOOKUP(C25,$C$14:$G$18,5)+ROUND((C25-VLOOKUP(C25,$C$14:$G$18,4))*VLOOKUP(C25,$C$14:$G$18,3),2)</f>
        <v>94.07</v>
      </c>
    </row>
    <row r="26" spans="2:11" x14ac:dyDescent="0.25">
      <c r="B26" s="40" t="s">
        <v>339</v>
      </c>
      <c r="C26" s="40">
        <v>1285</v>
      </c>
      <c r="D26" s="60">
        <f t="shared" si="8"/>
        <v>95.63</v>
      </c>
      <c r="E26" s="60">
        <f t="shared" si="6"/>
        <v>1000</v>
      </c>
      <c r="F26" s="60">
        <f t="shared" si="6"/>
        <v>0.13</v>
      </c>
      <c r="G26" s="60">
        <f t="shared" si="7"/>
        <v>132.68</v>
      </c>
      <c r="I26" s="67">
        <f t="shared" si="9"/>
        <v>132.68</v>
      </c>
    </row>
    <row r="27" spans="2:11" x14ac:dyDescent="0.25">
      <c r="B27" s="40" t="s">
        <v>340</v>
      </c>
      <c r="C27" s="40">
        <v>875</v>
      </c>
      <c r="D27" s="60">
        <f t="shared" si="8"/>
        <v>59.629999999999995</v>
      </c>
      <c r="E27" s="60">
        <f t="shared" si="6"/>
        <v>700</v>
      </c>
      <c r="F27" s="60">
        <f t="shared" si="6"/>
        <v>0.12</v>
      </c>
      <c r="G27" s="60">
        <f t="shared" si="7"/>
        <v>80.63</v>
      </c>
      <c r="I27" s="67">
        <f t="shared" si="9"/>
        <v>80.63</v>
      </c>
      <c r="K27" t="s">
        <v>357</v>
      </c>
    </row>
    <row r="28" spans="2:11" x14ac:dyDescent="0.25">
      <c r="B28" s="40" t="s">
        <v>341</v>
      </c>
      <c r="C28" s="40">
        <v>673</v>
      </c>
      <c r="D28" s="60">
        <f t="shared" si="8"/>
        <v>40.629999999999995</v>
      </c>
      <c r="E28" s="60">
        <f t="shared" si="6"/>
        <v>500</v>
      </c>
      <c r="F28" s="60">
        <f t="shared" si="6"/>
        <v>9.5000000000000001E-2</v>
      </c>
      <c r="G28" s="60">
        <f t="shared" si="7"/>
        <v>57.069999999999993</v>
      </c>
      <c r="I28" s="67">
        <f t="shared" si="9"/>
        <v>57.069999999999993</v>
      </c>
      <c r="K28" s="135">
        <f>G16+(C28-F16)*E16</f>
        <v>57.064999999999998</v>
      </c>
    </row>
    <row r="29" spans="2:11" x14ac:dyDescent="0.25">
      <c r="B29" s="40" t="s">
        <v>342</v>
      </c>
      <c r="C29" s="40">
        <v>1482</v>
      </c>
      <c r="D29" s="60">
        <f t="shared" si="8"/>
        <v>95.63</v>
      </c>
      <c r="E29" s="60">
        <f t="shared" si="6"/>
        <v>1000</v>
      </c>
      <c r="F29" s="60">
        <f t="shared" si="6"/>
        <v>0.13</v>
      </c>
      <c r="G29" s="60">
        <f t="shared" si="7"/>
        <v>158.29</v>
      </c>
      <c r="I29" s="67">
        <f t="shared" si="9"/>
        <v>158.29</v>
      </c>
    </row>
    <row r="30" spans="2:11" x14ac:dyDescent="0.25">
      <c r="B30" s="40" t="s">
        <v>343</v>
      </c>
      <c r="C30" s="40">
        <v>587</v>
      </c>
      <c r="D30" s="60">
        <f t="shared" si="8"/>
        <v>40.629999999999995</v>
      </c>
      <c r="E30" s="60">
        <f t="shared" si="6"/>
        <v>500</v>
      </c>
      <c r="F30" s="60">
        <f t="shared" si="6"/>
        <v>9.5000000000000001E-2</v>
      </c>
      <c r="G30" s="60">
        <f t="shared" si="7"/>
        <v>48.899999999999991</v>
      </c>
      <c r="I30" s="67">
        <f t="shared" si="9"/>
        <v>48.899999999999991</v>
      </c>
    </row>
    <row r="31" spans="2:11" x14ac:dyDescent="0.25">
      <c r="B31" s="40" t="s">
        <v>344</v>
      </c>
      <c r="C31" s="40">
        <v>858</v>
      </c>
      <c r="D31" s="60">
        <f t="shared" si="8"/>
        <v>59.629999999999995</v>
      </c>
      <c r="E31" s="60">
        <f t="shared" si="6"/>
        <v>700</v>
      </c>
      <c r="F31" s="60">
        <f t="shared" si="6"/>
        <v>0.12</v>
      </c>
      <c r="G31" s="60">
        <f t="shared" si="7"/>
        <v>78.59</v>
      </c>
      <c r="I31" s="67">
        <f t="shared" si="9"/>
        <v>78.59</v>
      </c>
    </row>
    <row r="32" spans="2:11" x14ac:dyDescent="0.25">
      <c r="B32" s="40" t="s">
        <v>345</v>
      </c>
      <c r="C32" s="40">
        <v>1481</v>
      </c>
      <c r="D32" s="60">
        <f t="shared" si="8"/>
        <v>95.63</v>
      </c>
      <c r="E32" s="60">
        <f t="shared" si="6"/>
        <v>1000</v>
      </c>
      <c r="F32" s="60">
        <f t="shared" si="6"/>
        <v>0.13</v>
      </c>
      <c r="G32" s="60">
        <f t="shared" si="7"/>
        <v>158.16</v>
      </c>
      <c r="I32" s="67">
        <f t="shared" si="9"/>
        <v>158.16</v>
      </c>
    </row>
    <row r="33" spans="2:9" x14ac:dyDescent="0.25">
      <c r="B33" s="40" t="s">
        <v>346</v>
      </c>
      <c r="C33" s="40">
        <v>874</v>
      </c>
      <c r="D33" s="60">
        <f t="shared" si="8"/>
        <v>59.629999999999995</v>
      </c>
      <c r="E33" s="60">
        <f t="shared" si="6"/>
        <v>700</v>
      </c>
      <c r="F33" s="60">
        <f t="shared" si="6"/>
        <v>0.12</v>
      </c>
      <c r="G33" s="60">
        <f t="shared" si="7"/>
        <v>80.509999999999991</v>
      </c>
      <c r="I33" s="67">
        <f t="shared" si="9"/>
        <v>80.509999999999991</v>
      </c>
    </row>
    <row r="34" spans="2:9" x14ac:dyDescent="0.25">
      <c r="B34" s="40" t="s">
        <v>347</v>
      </c>
      <c r="C34" s="40">
        <v>1024</v>
      </c>
      <c r="D34" s="60">
        <f t="shared" si="8"/>
        <v>95.63</v>
      </c>
      <c r="E34" s="60">
        <f t="shared" si="6"/>
        <v>1000</v>
      </c>
      <c r="F34" s="60">
        <f t="shared" si="6"/>
        <v>0.13</v>
      </c>
      <c r="G34" s="60">
        <f t="shared" si="7"/>
        <v>98.75</v>
      </c>
      <c r="I34" s="67">
        <f t="shared" si="9"/>
        <v>98.75</v>
      </c>
    </row>
    <row r="35" spans="2:9" x14ac:dyDescent="0.25">
      <c r="B35" s="40" t="s">
        <v>348</v>
      </c>
      <c r="C35" s="40">
        <v>950</v>
      </c>
      <c r="D35" s="60">
        <f t="shared" si="8"/>
        <v>59.629999999999995</v>
      </c>
      <c r="E35" s="60">
        <f t="shared" si="6"/>
        <v>700</v>
      </c>
      <c r="F35" s="60">
        <f t="shared" si="6"/>
        <v>0.12</v>
      </c>
      <c r="G35" s="60">
        <f t="shared" si="7"/>
        <v>89.63</v>
      </c>
      <c r="I35" s="67">
        <f t="shared" si="9"/>
        <v>89.63</v>
      </c>
    </row>
    <row r="36" spans="2:9" x14ac:dyDescent="0.25">
      <c r="B36" s="40" t="s">
        <v>349</v>
      </c>
      <c r="C36" s="52">
        <v>598</v>
      </c>
      <c r="D36" s="60">
        <f t="shared" si="8"/>
        <v>40.629999999999995</v>
      </c>
      <c r="E36" s="60">
        <f t="shared" si="6"/>
        <v>500</v>
      </c>
      <c r="F36" s="60">
        <f t="shared" si="6"/>
        <v>9.5000000000000001E-2</v>
      </c>
      <c r="G36" s="60">
        <f t="shared" si="7"/>
        <v>49.94</v>
      </c>
      <c r="I36" s="67">
        <f t="shared" si="9"/>
        <v>49.94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F3CAC-A219-47FC-9455-39453E84D660}">
  <sheetPr>
    <tabColor rgb="FF0000FF"/>
  </sheetPr>
  <dimension ref="B1:H1"/>
  <sheetViews>
    <sheetView zoomScale="130" zoomScaleNormal="130" workbookViewId="0">
      <selection activeCell="B4" sqref="B4"/>
    </sheetView>
  </sheetViews>
  <sheetFormatPr defaultRowHeight="15" x14ac:dyDescent="0.25"/>
  <cols>
    <col min="1" max="1" width="11.140625" customWidth="1"/>
    <col min="2" max="2" width="22.5703125" bestFit="1" customWidth="1"/>
    <col min="3" max="3" width="19.140625" customWidth="1"/>
    <col min="4" max="4" width="16.42578125" customWidth="1"/>
    <col min="5" max="5" width="21.85546875" customWidth="1"/>
    <col min="6" max="6" width="22.42578125" customWidth="1"/>
    <col min="7" max="7" width="18.85546875" customWidth="1"/>
    <col min="8" max="8" width="10.85546875" customWidth="1"/>
    <col min="9" max="9" width="13.42578125" bestFit="1" customWidth="1"/>
    <col min="10" max="10" width="24.42578125" bestFit="1" customWidth="1"/>
  </cols>
  <sheetData>
    <row r="1" spans="2:8" ht="45" x14ac:dyDescent="0.25">
      <c r="B1" s="129" t="s">
        <v>286</v>
      </c>
      <c r="C1" s="130"/>
      <c r="D1" s="130"/>
      <c r="E1" s="130"/>
      <c r="F1" s="130"/>
      <c r="G1" s="130"/>
      <c r="H1" s="131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DF0BD-40CF-4058-8EA1-6C2A4708CECF}">
  <sheetPr>
    <tabColor rgb="FFFF0000"/>
  </sheetPr>
  <dimension ref="A1:K39"/>
  <sheetViews>
    <sheetView zoomScaleNormal="100" workbookViewId="0">
      <selection activeCell="I12" sqref="I12"/>
    </sheetView>
  </sheetViews>
  <sheetFormatPr defaultRowHeight="15" x14ac:dyDescent="0.25"/>
  <cols>
    <col min="1" max="1" width="11.140625" customWidth="1"/>
    <col min="2" max="2" width="22.5703125" bestFit="1" customWidth="1"/>
    <col min="3" max="3" width="19.140625" customWidth="1"/>
    <col min="4" max="4" width="16.42578125" customWidth="1"/>
    <col min="5" max="5" width="21.85546875" customWidth="1"/>
    <col min="6" max="6" width="22.42578125" customWidth="1"/>
    <col min="7" max="7" width="18.85546875" customWidth="1"/>
    <col min="8" max="8" width="10.85546875" customWidth="1"/>
    <col min="9" max="9" width="13.42578125" bestFit="1" customWidth="1"/>
    <col min="10" max="10" width="24.42578125" bestFit="1" customWidth="1"/>
  </cols>
  <sheetData>
    <row r="1" spans="1:10" ht="45" x14ac:dyDescent="0.25">
      <c r="B1" s="129" t="s">
        <v>286</v>
      </c>
      <c r="C1" s="130"/>
      <c r="D1" s="130"/>
      <c r="E1" s="130"/>
      <c r="F1" s="130"/>
      <c r="G1" s="130"/>
      <c r="H1" s="131"/>
    </row>
    <row r="3" spans="1:10" x14ac:dyDescent="0.25">
      <c r="B3" s="81" t="s">
        <v>327</v>
      </c>
      <c r="C3" s="79">
        <v>1</v>
      </c>
      <c r="D3" s="79">
        <v>2</v>
      </c>
      <c r="E3" s="79">
        <v>3</v>
      </c>
      <c r="F3" s="79">
        <v>4</v>
      </c>
      <c r="G3" s="79">
        <v>5</v>
      </c>
    </row>
    <row r="4" spans="1:10" ht="45" x14ac:dyDescent="0.25">
      <c r="B4" s="140" t="s">
        <v>102</v>
      </c>
      <c r="C4" s="140" t="s">
        <v>293</v>
      </c>
      <c r="D4" s="140" t="s">
        <v>294</v>
      </c>
      <c r="E4" s="140" t="s">
        <v>234</v>
      </c>
      <c r="F4" s="142" t="s">
        <v>356</v>
      </c>
      <c r="G4" s="142" t="s">
        <v>163</v>
      </c>
    </row>
    <row r="5" spans="1:10" x14ac:dyDescent="0.25">
      <c r="B5" s="144" t="str">
        <f t="shared" ref="B5:B7" si="0">C5&amp;" - "&amp;D5</f>
        <v>0 - 8000</v>
      </c>
      <c r="C5" s="145">
        <v>0</v>
      </c>
      <c r="D5" s="145">
        <v>8000</v>
      </c>
      <c r="E5" s="146">
        <v>5.7500000000000002E-2</v>
      </c>
      <c r="I5" s="80" t="str">
        <f>"Formula is "&amp;ADDRESS(ROW(F6),COLUMN(F6),4)&amp;":"</f>
        <v>Formula is F6:</v>
      </c>
      <c r="J5" s="80" t="str">
        <f>"Formula is "&amp;ADDRESS(ROW(G6),COLUMN(G6),4)&amp;":"</f>
        <v>Formula is G6:</v>
      </c>
    </row>
    <row r="6" spans="1:10" x14ac:dyDescent="0.25">
      <c r="B6" s="40" t="str">
        <f t="shared" si="0"/>
        <v>8000.01 - 13500</v>
      </c>
      <c r="C6" s="66">
        <v>8000.01</v>
      </c>
      <c r="D6" s="66">
        <v>13500</v>
      </c>
      <c r="E6" s="95">
        <v>6.7500000000000004E-2</v>
      </c>
      <c r="F6" s="67">
        <f>D5</f>
        <v>8000</v>
      </c>
      <c r="G6" s="67">
        <f>G5+ROUND((F6-F5)*E5,2)</f>
        <v>460</v>
      </c>
      <c r="I6" t="str">
        <f ca="1">IF(_xlfn.ISFORMULA(F6),_xlfn.FORMULATEXT(F6),"")</f>
        <v>=D5</v>
      </c>
      <c r="J6" t="str">
        <f ca="1">IF(_xlfn.ISFORMULA(G6),_xlfn.FORMULATEXT(G6),"")</f>
        <v>=G5+ROUND((F6-F5)*E5,2)</v>
      </c>
    </row>
    <row r="7" spans="1:10" x14ac:dyDescent="0.25">
      <c r="B7" s="40" t="str">
        <f t="shared" si="0"/>
        <v>13500.01 - more</v>
      </c>
      <c r="C7" s="66">
        <v>13500.01</v>
      </c>
      <c r="D7" s="66" t="s">
        <v>125</v>
      </c>
      <c r="E7" s="95">
        <v>0.09</v>
      </c>
      <c r="F7" s="67">
        <f>D6</f>
        <v>13500</v>
      </c>
      <c r="G7" s="67">
        <f>G6+ROUND((F7-F6)*E6,2)</f>
        <v>831.25</v>
      </c>
    </row>
    <row r="9" spans="1:10" x14ac:dyDescent="0.25">
      <c r="B9" s="40" t="s">
        <v>300</v>
      </c>
      <c r="C9" s="66">
        <v>19575</v>
      </c>
    </row>
    <row r="10" spans="1:10" x14ac:dyDescent="0.25">
      <c r="A10" s="136" t="s">
        <v>360</v>
      </c>
    </row>
    <row r="11" spans="1:10" ht="30" x14ac:dyDescent="0.25">
      <c r="A11" s="136">
        <v>5</v>
      </c>
      <c r="B11" s="147" t="str">
        <f>G4</f>
        <v>Earnings Made Through Previous Category</v>
      </c>
      <c r="C11" s="60">
        <f>VLOOKUP($C$9,$C$5:$G$7,A11)</f>
        <v>831.25</v>
      </c>
      <c r="E11" t="str">
        <f ca="1">IF(_xlfn.ISFORMULA(C11),_xlfn.FORMULATEXT(C11),"")</f>
        <v>=VLOOKUP($C$9,$C$5:$G$7,A11)</v>
      </c>
    </row>
    <row r="12" spans="1:10" ht="30" x14ac:dyDescent="0.25">
      <c r="A12" s="136">
        <v>4</v>
      </c>
      <c r="B12" s="147" t="str">
        <f>F4</f>
        <v>Upper Limit from Previous Category</v>
      </c>
      <c r="C12" s="60">
        <f>VLOOKUP($C$9,$C$5:$G$7,A12)</f>
        <v>13500</v>
      </c>
      <c r="E12" t="str">
        <f t="shared" ref="E12:E17" ca="1" si="1">IF(_xlfn.ISFORMULA(C12),_xlfn.FORMULATEXT(C12),"")</f>
        <v>=VLOOKUP($C$9,$C$5:$G$7,A12)</v>
      </c>
    </row>
    <row r="13" spans="1:10" x14ac:dyDescent="0.25">
      <c r="A13" s="136">
        <v>3</v>
      </c>
      <c r="B13" s="147" t="str">
        <f>E4</f>
        <v>Commission Rate</v>
      </c>
      <c r="C13" s="60">
        <f>VLOOKUP($C$9,$C$5:$G$7,A13)</f>
        <v>0.09</v>
      </c>
      <c r="E13" t="str">
        <f t="shared" ca="1" si="1"/>
        <v>=VLOOKUP($C$9,$C$5:$G$7,A13)</v>
      </c>
    </row>
    <row r="14" spans="1:10" x14ac:dyDescent="0.25">
      <c r="B14" s="134" t="s">
        <v>110</v>
      </c>
      <c r="C14" s="67">
        <f>C11+(C9-C12)*C13</f>
        <v>1378</v>
      </c>
      <c r="E14" t="str">
        <f t="shared" ca="1" si="1"/>
        <v>=C11+(C9-C12)*C13</v>
      </c>
    </row>
    <row r="15" spans="1:10" x14ac:dyDescent="0.25">
      <c r="E15" t="str">
        <f t="shared" ca="1" si="1"/>
        <v/>
      </c>
    </row>
    <row r="16" spans="1:10" x14ac:dyDescent="0.25">
      <c r="B16" s="40" t="s">
        <v>358</v>
      </c>
      <c r="C16" s="67">
        <f>G7+(C9-F7)*E7</f>
        <v>1378</v>
      </c>
      <c r="E16" t="str">
        <f t="shared" ca="1" si="1"/>
        <v>=G7+(C9-F7)*E7</v>
      </c>
    </row>
    <row r="17" spans="2:11" x14ac:dyDescent="0.25">
      <c r="B17" s="40" t="s">
        <v>359</v>
      </c>
      <c r="C17" s="67">
        <f>VLOOKUP(C9,$C$5:$G$7,5)+(C9-VLOOKUP(C9,$C$5:$G$7,4))*VLOOKUP(C9,$C$5:$G$7,3)</f>
        <v>1378</v>
      </c>
      <c r="E17" t="str">
        <f t="shared" ca="1" si="1"/>
        <v>=VLOOKUP(C9,$C$5:$G$7,5)+(C9-VLOOKUP(C9,$C$5:$G$7,4))*VLOOKUP(C9,$C$5:$G$7,3)</v>
      </c>
    </row>
    <row r="20" spans="2:11" x14ac:dyDescent="0.25">
      <c r="B20" s="141" t="s">
        <v>328</v>
      </c>
      <c r="C20" s="116"/>
      <c r="D20" s="116"/>
      <c r="E20" s="116"/>
      <c r="F20" s="116"/>
      <c r="G20" s="116"/>
      <c r="H20" s="116"/>
      <c r="I20" s="116"/>
      <c r="J20" s="116"/>
      <c r="K20" s="116"/>
    </row>
    <row r="22" spans="2:11" x14ac:dyDescent="0.25">
      <c r="B22" s="132" t="s">
        <v>102</v>
      </c>
      <c r="C22" s="132" t="s">
        <v>293</v>
      </c>
      <c r="D22" s="132" t="s">
        <v>294</v>
      </c>
      <c r="E22" s="132" t="s">
        <v>234</v>
      </c>
      <c r="F22" s="132" t="s">
        <v>295</v>
      </c>
    </row>
    <row r="23" spans="2:11" x14ac:dyDescent="0.25">
      <c r="B23" s="40" t="s">
        <v>296</v>
      </c>
      <c r="C23" s="66">
        <v>0</v>
      </c>
      <c r="D23" s="66">
        <v>8000</v>
      </c>
      <c r="E23" s="95">
        <v>5.7500000000000002E-2</v>
      </c>
      <c r="F23" s="67">
        <f>D23</f>
        <v>8000</v>
      </c>
    </row>
    <row r="24" spans="2:11" x14ac:dyDescent="0.25">
      <c r="B24" s="40" t="s">
        <v>297</v>
      </c>
      <c r="C24" s="66">
        <v>8000.01</v>
      </c>
      <c r="D24" s="66">
        <v>13500</v>
      </c>
      <c r="E24" s="95">
        <v>6.7500000000000004E-2</v>
      </c>
      <c r="F24" s="67">
        <f>D24-D23</f>
        <v>5500</v>
      </c>
    </row>
    <row r="25" spans="2:11" x14ac:dyDescent="0.25">
      <c r="B25" s="40" t="s">
        <v>298</v>
      </c>
      <c r="C25" s="66">
        <v>13500.01</v>
      </c>
      <c r="D25" s="66" t="s">
        <v>299</v>
      </c>
      <c r="E25" s="95">
        <v>0.09</v>
      </c>
      <c r="F25" s="40" t="s">
        <v>299</v>
      </c>
    </row>
    <row r="27" spans="2:11" x14ac:dyDescent="0.25">
      <c r="B27" s="40" t="s">
        <v>300</v>
      </c>
      <c r="C27" s="66">
        <v>19575</v>
      </c>
    </row>
    <row r="29" spans="2:11" x14ac:dyDescent="0.25">
      <c r="C29" s="132" t="s">
        <v>301</v>
      </c>
      <c r="D29" s="132" t="s">
        <v>234</v>
      </c>
      <c r="E29" s="132" t="s">
        <v>302</v>
      </c>
    </row>
    <row r="30" spans="2:11" x14ac:dyDescent="0.25">
      <c r="B30" t="s">
        <v>303</v>
      </c>
      <c r="C30" s="66">
        <f>F23</f>
        <v>8000</v>
      </c>
      <c r="D30" s="95">
        <f>E23</f>
        <v>5.7500000000000002E-2</v>
      </c>
      <c r="E30" s="67">
        <f>ROUND(D30*C30,2)</f>
        <v>460</v>
      </c>
    </row>
    <row r="31" spans="2:11" x14ac:dyDescent="0.25">
      <c r="B31" t="s">
        <v>304</v>
      </c>
      <c r="C31" s="67">
        <f>C27-C30</f>
        <v>11575</v>
      </c>
      <c r="D31" s="40"/>
      <c r="E31" s="40"/>
    </row>
    <row r="32" spans="2:11" x14ac:dyDescent="0.25">
      <c r="B32" t="s">
        <v>305</v>
      </c>
      <c r="C32" s="66">
        <f>F24</f>
        <v>5500</v>
      </c>
      <c r="D32" s="95">
        <f>E24</f>
        <v>6.7500000000000004E-2</v>
      </c>
      <c r="E32" s="67">
        <f>ROUND(C32*D32,2)</f>
        <v>371.25</v>
      </c>
    </row>
    <row r="33" spans="2:5" x14ac:dyDescent="0.25">
      <c r="B33" t="s">
        <v>304</v>
      </c>
      <c r="C33" s="67">
        <f>C31-C32</f>
        <v>6075</v>
      </c>
      <c r="D33" s="40"/>
      <c r="E33" s="40"/>
    </row>
    <row r="34" spans="2:5" x14ac:dyDescent="0.25">
      <c r="B34" t="s">
        <v>306</v>
      </c>
      <c r="C34" s="66">
        <f>C33</f>
        <v>6075</v>
      </c>
      <c r="D34" s="95">
        <f>E25</f>
        <v>0.09</v>
      </c>
      <c r="E34" s="67">
        <f>ROUND(C34*D34,2)</f>
        <v>546.75</v>
      </c>
    </row>
    <row r="36" spans="2:5" x14ac:dyDescent="0.25">
      <c r="D36" s="40" t="s">
        <v>291</v>
      </c>
      <c r="E36" s="67">
        <f>E34+E32+E30</f>
        <v>1378</v>
      </c>
    </row>
    <row r="39" spans="2:5" x14ac:dyDescent="0.25">
      <c r="D39" t="s">
        <v>137</v>
      </c>
      <c r="E39" s="135">
        <f>ROUND(F23*E23,2)+ROUND(F24*E24,2)+ROUND((C27-D24)*E25,2)</f>
        <v>1378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F274C-7E26-4320-948B-D6AA7D165594}">
  <sheetPr>
    <tabColor rgb="FF0000FF"/>
  </sheetPr>
  <dimension ref="B1:H1"/>
  <sheetViews>
    <sheetView zoomScale="130" zoomScaleNormal="130" workbookViewId="0">
      <selection activeCell="B4" sqref="B4"/>
    </sheetView>
  </sheetViews>
  <sheetFormatPr defaultRowHeight="15" x14ac:dyDescent="0.25"/>
  <cols>
    <col min="2" max="2" width="22.5703125" bestFit="1" customWidth="1"/>
    <col min="3" max="3" width="19.140625" customWidth="1"/>
    <col min="4" max="4" width="16.42578125" customWidth="1"/>
    <col min="5" max="5" width="21.85546875" customWidth="1"/>
    <col min="6" max="6" width="22.42578125" customWidth="1"/>
    <col min="7" max="7" width="13.42578125" customWidth="1"/>
    <col min="8" max="8" width="10.85546875" customWidth="1"/>
    <col min="9" max="9" width="13.28515625" bestFit="1" customWidth="1"/>
    <col min="10" max="10" width="24.42578125" bestFit="1" customWidth="1"/>
  </cols>
  <sheetData>
    <row r="1" spans="2:8" ht="45" x14ac:dyDescent="0.25">
      <c r="B1" s="129" t="s">
        <v>287</v>
      </c>
      <c r="C1" s="130"/>
      <c r="D1" s="130"/>
      <c r="E1" s="130"/>
      <c r="F1" s="130"/>
      <c r="G1" s="130"/>
      <c r="H1" s="13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00C8E-CB98-4B07-99E1-559F0E6CBF10}">
  <sheetPr>
    <tabColor rgb="FFFF0000"/>
  </sheetPr>
  <dimension ref="A1:K87"/>
  <sheetViews>
    <sheetView zoomScaleNormal="100" workbookViewId="0">
      <selection activeCell="D11" sqref="D11"/>
    </sheetView>
  </sheetViews>
  <sheetFormatPr defaultRowHeight="15" x14ac:dyDescent="0.25"/>
  <cols>
    <col min="2" max="2" width="22.5703125" bestFit="1" customWidth="1"/>
    <col min="3" max="3" width="19.140625" customWidth="1"/>
    <col min="4" max="4" width="16.42578125" customWidth="1"/>
    <col min="5" max="5" width="21.85546875" customWidth="1"/>
    <col min="6" max="6" width="22.42578125" customWidth="1"/>
    <col min="7" max="7" width="13.42578125" customWidth="1"/>
    <col min="8" max="8" width="10.85546875" customWidth="1"/>
    <col min="9" max="9" width="13.28515625" bestFit="1" customWidth="1"/>
    <col min="10" max="10" width="24.42578125" bestFit="1" customWidth="1"/>
  </cols>
  <sheetData>
    <row r="1" spans="1:10" ht="45" x14ac:dyDescent="0.25">
      <c r="B1" s="129" t="s">
        <v>287</v>
      </c>
      <c r="C1" s="130"/>
      <c r="D1" s="130"/>
      <c r="E1" s="130"/>
      <c r="F1" s="130"/>
      <c r="G1" s="130"/>
      <c r="H1" s="131"/>
    </row>
    <row r="3" spans="1:10" x14ac:dyDescent="0.25">
      <c r="B3" s="81" t="s">
        <v>327</v>
      </c>
      <c r="C3" s="79">
        <v>1</v>
      </c>
      <c r="D3" s="79">
        <v>2</v>
      </c>
      <c r="E3" s="79">
        <v>3</v>
      </c>
      <c r="F3" s="79">
        <v>4</v>
      </c>
      <c r="G3" s="79">
        <v>5</v>
      </c>
    </row>
    <row r="4" spans="1:10" ht="45" x14ac:dyDescent="0.25">
      <c r="B4" s="140" t="s">
        <v>102</v>
      </c>
      <c r="C4" s="140" t="s">
        <v>293</v>
      </c>
      <c r="D4" s="140" t="s">
        <v>294</v>
      </c>
      <c r="E4" s="140" t="s">
        <v>234</v>
      </c>
      <c r="F4" s="142" t="s">
        <v>356</v>
      </c>
      <c r="G4" s="142" t="s">
        <v>163</v>
      </c>
    </row>
    <row r="5" spans="1:10" x14ac:dyDescent="0.25">
      <c r="B5" s="144" t="str">
        <f t="shared" ref="B5:B7" si="0">C5&amp;" - "&amp;D5</f>
        <v>0 - 8000</v>
      </c>
      <c r="C5" s="145">
        <v>0</v>
      </c>
      <c r="D5" s="145">
        <v>8000</v>
      </c>
      <c r="E5" s="146">
        <v>5.7500000000000002E-2</v>
      </c>
      <c r="I5" s="80" t="str">
        <f>"Formula is "&amp;ADDRESS(ROW(F6),COLUMN(F6),4)&amp;":"</f>
        <v>Formula is F6:</v>
      </c>
      <c r="J5" s="80" t="str">
        <f>"Formula is "&amp;ADDRESS(ROW(G6),COLUMN(G6),4)&amp;":"</f>
        <v>Formula is G6:</v>
      </c>
    </row>
    <row r="6" spans="1:10" x14ac:dyDescent="0.25">
      <c r="B6" s="40" t="str">
        <f t="shared" si="0"/>
        <v>8000.01 - 13500</v>
      </c>
      <c r="C6" s="66">
        <v>8000.01</v>
      </c>
      <c r="D6" s="66">
        <v>13500</v>
      </c>
      <c r="E6" s="95">
        <v>6.7500000000000004E-2</v>
      </c>
      <c r="F6" s="67">
        <f>D5</f>
        <v>8000</v>
      </c>
      <c r="G6" s="67">
        <f>G5+ROUND((F6-F5)*E5,2)</f>
        <v>460</v>
      </c>
      <c r="I6" t="str">
        <f ca="1">IF(_xlfn.ISFORMULA(F6),_xlfn.FORMULATEXT(F6),"")</f>
        <v>=D5</v>
      </c>
      <c r="J6" t="str">
        <f ca="1">IF(_xlfn.ISFORMULA(G6),_xlfn.FORMULATEXT(G6),"")</f>
        <v>=G5+ROUND((F6-F5)*E5,2)</v>
      </c>
    </row>
    <row r="7" spans="1:10" x14ac:dyDescent="0.25">
      <c r="B7" s="40" t="str">
        <f t="shared" si="0"/>
        <v>13500.01 - more</v>
      </c>
      <c r="C7" s="66">
        <v>13500.01</v>
      </c>
      <c r="D7" s="66" t="s">
        <v>125</v>
      </c>
      <c r="E7" s="95">
        <v>0.09</v>
      </c>
      <c r="F7" s="67">
        <f>D6</f>
        <v>13500</v>
      </c>
      <c r="G7" s="67">
        <f>G6+ROUND((F7-F6)*E6,2)</f>
        <v>831.25</v>
      </c>
    </row>
    <row r="9" spans="1:10" x14ac:dyDescent="0.25">
      <c r="B9" s="40" t="s">
        <v>300</v>
      </c>
      <c r="C9" s="66">
        <v>25000</v>
      </c>
    </row>
    <row r="10" spans="1:10" x14ac:dyDescent="0.25">
      <c r="A10" s="136" t="s">
        <v>360</v>
      </c>
    </row>
    <row r="11" spans="1:10" ht="30" x14ac:dyDescent="0.25">
      <c r="A11" s="136">
        <v>5</v>
      </c>
      <c r="B11" s="147" t="str">
        <f>G4</f>
        <v>Earnings Made Through Previous Category</v>
      </c>
      <c r="C11" s="60">
        <f>VLOOKUP($C$9,$C$5:$G$7,A11)</f>
        <v>831.25</v>
      </c>
      <c r="E11" t="str">
        <f ca="1">IF(_xlfn.ISFORMULA(C11),_xlfn.FORMULATEXT(C11),"")</f>
        <v>=VLOOKUP($C$9,$C$5:$G$7,A11)</v>
      </c>
    </row>
    <row r="12" spans="1:10" ht="30" x14ac:dyDescent="0.25">
      <c r="A12" s="136">
        <v>4</v>
      </c>
      <c r="B12" s="147" t="str">
        <f>F4</f>
        <v>Upper Limit from Previous Category</v>
      </c>
      <c r="C12" s="60">
        <f>VLOOKUP($C$9,$C$5:$G$7,A12)</f>
        <v>13500</v>
      </c>
      <c r="E12" t="str">
        <f t="shared" ref="E12:E17" ca="1" si="1">IF(_xlfn.ISFORMULA(C12),_xlfn.FORMULATEXT(C12),"")</f>
        <v>=VLOOKUP($C$9,$C$5:$G$7,A12)</v>
      </c>
    </row>
    <row r="13" spans="1:10" x14ac:dyDescent="0.25">
      <c r="A13" s="136">
        <v>3</v>
      </c>
      <c r="B13" s="147" t="str">
        <f>E4</f>
        <v>Commission Rate</v>
      </c>
      <c r="C13" s="60">
        <f>VLOOKUP($C$9,$C$5:$G$7,A13)</f>
        <v>0.09</v>
      </c>
      <c r="E13" t="str">
        <f t="shared" ca="1" si="1"/>
        <v>=VLOOKUP($C$9,$C$5:$G$7,A13)</v>
      </c>
    </row>
    <row r="14" spans="1:10" x14ac:dyDescent="0.25">
      <c r="B14" s="134" t="s">
        <v>110</v>
      </c>
      <c r="C14" s="67">
        <f>C11+(C9-C12)*C13</f>
        <v>1866.25</v>
      </c>
      <c r="E14" t="str">
        <f t="shared" ca="1" si="1"/>
        <v>=C11+(C9-C12)*C13</v>
      </c>
    </row>
    <row r="15" spans="1:10" x14ac:dyDescent="0.25">
      <c r="E15" t="str">
        <f t="shared" ca="1" si="1"/>
        <v/>
      </c>
    </row>
    <row r="16" spans="1:10" x14ac:dyDescent="0.25">
      <c r="B16" s="40" t="s">
        <v>358</v>
      </c>
      <c r="C16" s="67">
        <f>G7+(C9-F7)*E7</f>
        <v>1866.25</v>
      </c>
      <c r="E16" t="str">
        <f t="shared" ca="1" si="1"/>
        <v>=G7+(C9-F7)*E7</v>
      </c>
    </row>
    <row r="17" spans="2:11" x14ac:dyDescent="0.25">
      <c r="B17" s="40" t="s">
        <v>359</v>
      </c>
      <c r="C17" s="67">
        <f>VLOOKUP(C9,$C$5:$G$7,5)+(C9-VLOOKUP(C9,$C$5:$G$7,4))*VLOOKUP(C9,$C$5:$G$7,3)</f>
        <v>1866.25</v>
      </c>
      <c r="E17" t="str">
        <f t="shared" ca="1" si="1"/>
        <v>=VLOOKUP(C9,$C$5:$G$7,5)+(C9-VLOOKUP(C9,$C$5:$G$7,4))*VLOOKUP(C9,$C$5:$G$7,3)</v>
      </c>
    </row>
    <row r="20" spans="2:11" x14ac:dyDescent="0.25">
      <c r="B20" s="141" t="s">
        <v>328</v>
      </c>
      <c r="C20" s="116"/>
      <c r="D20" s="116"/>
      <c r="E20" s="116"/>
      <c r="F20" s="116"/>
      <c r="G20" s="116"/>
      <c r="H20" s="116"/>
      <c r="I20" s="116"/>
      <c r="J20" s="116"/>
      <c r="K20" s="116"/>
    </row>
    <row r="22" spans="2:11" x14ac:dyDescent="0.25">
      <c r="B22" s="132" t="s">
        <v>102</v>
      </c>
      <c r="C22" s="132" t="s">
        <v>293</v>
      </c>
      <c r="D22" s="132" t="s">
        <v>294</v>
      </c>
      <c r="E22" s="132" t="s">
        <v>234</v>
      </c>
      <c r="F22" s="132" t="s">
        <v>295</v>
      </c>
    </row>
    <row r="23" spans="2:11" x14ac:dyDescent="0.25">
      <c r="B23" s="40" t="s">
        <v>296</v>
      </c>
      <c r="C23" s="66">
        <v>0</v>
      </c>
      <c r="D23" s="66">
        <v>8000</v>
      </c>
      <c r="E23" s="95">
        <v>5.7500000000000002E-2</v>
      </c>
      <c r="F23" s="67">
        <f>D23</f>
        <v>8000</v>
      </c>
    </row>
    <row r="24" spans="2:11" x14ac:dyDescent="0.25">
      <c r="B24" s="40" t="s">
        <v>297</v>
      </c>
      <c r="C24" s="66">
        <v>8000.01</v>
      </c>
      <c r="D24" s="66">
        <v>13500</v>
      </c>
      <c r="E24" s="95">
        <v>6.7500000000000004E-2</v>
      </c>
      <c r="F24" s="67">
        <f>D24-D23</f>
        <v>5500</v>
      </c>
    </row>
    <row r="25" spans="2:11" x14ac:dyDescent="0.25">
      <c r="B25" s="40" t="s">
        <v>298</v>
      </c>
      <c r="C25" s="66">
        <v>13500.01</v>
      </c>
      <c r="D25" s="66" t="s">
        <v>299</v>
      </c>
      <c r="E25" s="95">
        <v>0.09</v>
      </c>
      <c r="F25" s="40" t="s">
        <v>299</v>
      </c>
    </row>
    <row r="27" spans="2:11" x14ac:dyDescent="0.25">
      <c r="B27" s="40" t="s">
        <v>300</v>
      </c>
      <c r="C27" s="66">
        <v>25000</v>
      </c>
    </row>
    <row r="29" spans="2:11" x14ac:dyDescent="0.25">
      <c r="C29" s="132" t="s">
        <v>301</v>
      </c>
      <c r="D29" s="132" t="s">
        <v>234</v>
      </c>
      <c r="E29" s="132" t="s">
        <v>302</v>
      </c>
    </row>
    <row r="30" spans="2:11" x14ac:dyDescent="0.25">
      <c r="B30" t="s">
        <v>303</v>
      </c>
      <c r="C30" s="66">
        <f>F23</f>
        <v>8000</v>
      </c>
      <c r="D30" s="95">
        <f>E23</f>
        <v>5.7500000000000002E-2</v>
      </c>
      <c r="E30" s="67">
        <f>ROUND(D30*C30,2)</f>
        <v>460</v>
      </c>
    </row>
    <row r="31" spans="2:11" x14ac:dyDescent="0.25">
      <c r="B31" t="s">
        <v>304</v>
      </c>
      <c r="C31" s="67">
        <f>C27-C30</f>
        <v>17000</v>
      </c>
      <c r="D31" s="40"/>
      <c r="E31" s="40"/>
    </row>
    <row r="32" spans="2:11" x14ac:dyDescent="0.25">
      <c r="B32" t="s">
        <v>305</v>
      </c>
      <c r="C32" s="66">
        <f>F24</f>
        <v>5500</v>
      </c>
      <c r="D32" s="95">
        <f>E24</f>
        <v>6.7500000000000004E-2</v>
      </c>
      <c r="E32" s="67">
        <f>ROUND(C32*D32,2)</f>
        <v>371.25</v>
      </c>
    </row>
    <row r="33" spans="2:8" x14ac:dyDescent="0.25">
      <c r="B33" t="s">
        <v>304</v>
      </c>
      <c r="C33" s="67">
        <f>C31-C32</f>
        <v>11500</v>
      </c>
      <c r="D33" s="40"/>
      <c r="E33" s="40"/>
    </row>
    <row r="34" spans="2:8" x14ac:dyDescent="0.25">
      <c r="B34" t="s">
        <v>306</v>
      </c>
      <c r="C34" s="66">
        <f>C33</f>
        <v>11500</v>
      </c>
      <c r="D34" s="95">
        <f>E25</f>
        <v>0.09</v>
      </c>
      <c r="E34" s="67">
        <f>ROUND(C34*D34,2)</f>
        <v>1035</v>
      </c>
    </row>
    <row r="36" spans="2:8" x14ac:dyDescent="0.25">
      <c r="D36" s="40" t="s">
        <v>291</v>
      </c>
      <c r="E36" s="67">
        <f>E34+E32+E30</f>
        <v>1866.25</v>
      </c>
      <c r="G36" t="s">
        <v>137</v>
      </c>
      <c r="H36" s="135">
        <f>ROUND(F23*E23,2)+ROUND(F24*E24,2)+ROUND((C27-D24)*E25,2)</f>
        <v>1866.25</v>
      </c>
    </row>
    <row r="78" spans="2:8" ht="90" x14ac:dyDescent="0.25">
      <c r="B78" s="132" t="e">
        <f>'HW(5an)'!#REF!</f>
        <v>#REF!</v>
      </c>
      <c r="C78" s="133" t="e">
        <f>'HW(5an)'!#REF!</f>
        <v>#REF!</v>
      </c>
      <c r="D78" s="133" t="e">
        <f>'HW(5an)'!#REF!</f>
        <v>#REF!</v>
      </c>
      <c r="E78" s="133" t="e">
        <f>'HW(5an)'!#REF!</f>
        <v>#REF!</v>
      </c>
      <c r="F78" s="133" t="e">
        <f>'HW(5an)'!#REF!</f>
        <v>#REF!</v>
      </c>
      <c r="G78" s="133" t="s">
        <v>289</v>
      </c>
      <c r="H78" s="133" t="s">
        <v>290</v>
      </c>
    </row>
    <row r="79" spans="2:8" x14ac:dyDescent="0.25">
      <c r="B79" s="134" t="e">
        <f>'HW(5an)'!#REF!</f>
        <v>#REF!</v>
      </c>
      <c r="C79" s="66" t="e">
        <f>'HW(5an)'!#REF!</f>
        <v>#REF!</v>
      </c>
      <c r="D79" s="66" t="e">
        <f>'HW(5an)'!#REF!</f>
        <v>#REF!</v>
      </c>
      <c r="E79" s="95" t="e">
        <f>'HW(5an)'!#REF!</f>
        <v>#REF!</v>
      </c>
      <c r="F79" s="67" t="e">
        <f>D79</f>
        <v>#REF!</v>
      </c>
      <c r="G79" s="60">
        <v>0</v>
      </c>
      <c r="H79" s="60">
        <v>0</v>
      </c>
    </row>
    <row r="80" spans="2:8" x14ac:dyDescent="0.25">
      <c r="B80" s="134" t="e">
        <f>'HW(5an)'!#REF!</f>
        <v>#REF!</v>
      </c>
      <c r="C80" s="67" t="e">
        <f t="shared" ref="C80:C81" si="2">D79+0.01</f>
        <v>#REF!</v>
      </c>
      <c r="D80" s="66" t="e">
        <f>'HW(5an)'!#REF!</f>
        <v>#REF!</v>
      </c>
      <c r="E80" s="95" t="e">
        <f>'HW(5an)'!#REF!</f>
        <v>#REF!</v>
      </c>
      <c r="F80" s="67" t="e">
        <f>D80-D79</f>
        <v>#REF!</v>
      </c>
      <c r="G80" s="67" t="e">
        <f>G79+ROUND(F79*E79,2)</f>
        <v>#REF!</v>
      </c>
      <c r="H80" s="67" t="e">
        <f>D79</f>
        <v>#REF!</v>
      </c>
    </row>
    <row r="81" spans="2:8" x14ac:dyDescent="0.25">
      <c r="B81" s="134" t="e">
        <f>'HW(5an)'!#REF!</f>
        <v>#REF!</v>
      </c>
      <c r="C81" s="67" t="e">
        <f t="shared" si="2"/>
        <v>#REF!</v>
      </c>
      <c r="D81" s="66" t="e">
        <f>'HW(5an)'!#REF!</f>
        <v>#REF!</v>
      </c>
      <c r="E81" s="95" t="e">
        <f>'HW(5an)'!#REF!</f>
        <v>#REF!</v>
      </c>
      <c r="F81" s="67" t="e">
        <f>#REF!</f>
        <v>#REF!</v>
      </c>
      <c r="G81" s="67" t="e">
        <f>G80+ROUND(F80*E80,2)</f>
        <v>#REF!</v>
      </c>
      <c r="H81" s="67" t="e">
        <f>D80</f>
        <v>#REF!</v>
      </c>
    </row>
    <row r="83" spans="2:8" x14ac:dyDescent="0.25">
      <c r="B83" s="132" t="e">
        <f>'HW(5an)'!#REF!</f>
        <v>#REF!</v>
      </c>
      <c r="C83" s="40" t="e">
        <f>'HW(5an)'!#REF!</f>
        <v>#REF!</v>
      </c>
    </row>
    <row r="84" spans="2:8" x14ac:dyDescent="0.25">
      <c r="B84" s="132" t="e">
        <f>'HW(5an)'!#REF!</f>
        <v>#REF!</v>
      </c>
      <c r="C84" s="66" t="e">
        <f>'HW(5an)'!#REF!</f>
        <v>#REF!</v>
      </c>
    </row>
    <row r="85" spans="2:8" x14ac:dyDescent="0.25">
      <c r="B85" s="40" t="s">
        <v>291</v>
      </c>
      <c r="C85" s="67" t="e">
        <f>VLOOKUP(C84,$C$79:$H$81,5)+(C84-VLOOKUP(C84,$C$79:$H$81,6))*VLOOKUP(C84,$C$79:$H$81,3)</f>
        <v>#REF!</v>
      </c>
    </row>
    <row r="87" spans="2:8" x14ac:dyDescent="0.25">
      <c r="B87" s="40" t="s">
        <v>292</v>
      </c>
      <c r="C87" s="67" t="e">
        <f>G81+(C84-H81)*E81</f>
        <v>#REF!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4A951-F565-4D4B-AD00-D68A3EB05839}">
  <sheetPr>
    <tabColor rgb="FF0000FF"/>
  </sheetPr>
  <dimension ref="B1:H1"/>
  <sheetViews>
    <sheetView zoomScale="130" zoomScaleNormal="130" workbookViewId="0">
      <selection activeCell="B4" sqref="B4"/>
    </sheetView>
  </sheetViews>
  <sheetFormatPr defaultRowHeight="15" x14ac:dyDescent="0.25"/>
  <cols>
    <col min="2" max="2" width="22.5703125" bestFit="1" customWidth="1"/>
    <col min="3" max="3" width="19.140625" customWidth="1"/>
    <col min="4" max="4" width="16.42578125" customWidth="1"/>
    <col min="5" max="5" width="21.85546875" customWidth="1"/>
    <col min="6" max="6" width="22.42578125" customWidth="1"/>
    <col min="7" max="7" width="13.42578125" customWidth="1"/>
    <col min="8" max="8" width="10.85546875" customWidth="1"/>
    <col min="10" max="10" width="9.7109375" customWidth="1"/>
  </cols>
  <sheetData>
    <row r="1" spans="2:8" ht="45" x14ac:dyDescent="0.25">
      <c r="B1" s="129" t="s">
        <v>288</v>
      </c>
      <c r="C1" s="130"/>
      <c r="D1" s="130"/>
      <c r="E1" s="130"/>
      <c r="F1" s="130"/>
      <c r="G1" s="130"/>
      <c r="H1" s="131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80869-25FB-4AC1-82A6-3DB3944F486D}">
  <sheetPr>
    <tabColor rgb="FFFF0000"/>
  </sheetPr>
  <dimension ref="A1:K69"/>
  <sheetViews>
    <sheetView zoomScaleNormal="100" workbookViewId="0">
      <selection activeCell="B4" sqref="B4"/>
    </sheetView>
  </sheetViews>
  <sheetFormatPr defaultRowHeight="15" x14ac:dyDescent="0.25"/>
  <cols>
    <col min="2" max="2" width="22.5703125" bestFit="1" customWidth="1"/>
    <col min="3" max="3" width="19.140625" customWidth="1"/>
    <col min="4" max="4" width="16.42578125" customWidth="1"/>
    <col min="5" max="5" width="21.85546875" customWidth="1"/>
    <col min="6" max="6" width="22.42578125" customWidth="1"/>
    <col min="7" max="7" width="13.42578125" customWidth="1"/>
    <col min="8" max="8" width="10.85546875" customWidth="1"/>
    <col min="10" max="10" width="9.7109375" customWidth="1"/>
  </cols>
  <sheetData>
    <row r="1" spans="1:10" ht="45" x14ac:dyDescent="0.25">
      <c r="B1" s="129" t="s">
        <v>288</v>
      </c>
      <c r="C1" s="130"/>
      <c r="D1" s="130"/>
      <c r="E1" s="130"/>
      <c r="F1" s="130"/>
      <c r="G1" s="130"/>
      <c r="H1" s="131"/>
    </row>
    <row r="3" spans="1:10" x14ac:dyDescent="0.25">
      <c r="B3" s="81" t="s">
        <v>327</v>
      </c>
      <c r="C3" s="79">
        <v>1</v>
      </c>
      <c r="D3" s="79">
        <v>2</v>
      </c>
      <c r="E3" s="79">
        <v>3</v>
      </c>
      <c r="F3" s="79">
        <v>4</v>
      </c>
      <c r="G3" s="79">
        <v>5</v>
      </c>
    </row>
    <row r="4" spans="1:10" ht="75" x14ac:dyDescent="0.25">
      <c r="B4" s="140" t="s">
        <v>102</v>
      </c>
      <c r="C4" s="140" t="s">
        <v>293</v>
      </c>
      <c r="D4" s="140" t="s">
        <v>294</v>
      </c>
      <c r="E4" s="140" t="s">
        <v>234</v>
      </c>
      <c r="F4" s="142" t="s">
        <v>356</v>
      </c>
      <c r="G4" s="142" t="s">
        <v>163</v>
      </c>
    </row>
    <row r="5" spans="1:10" x14ac:dyDescent="0.25">
      <c r="B5" s="144" t="str">
        <f t="shared" ref="B5:B7" si="0">C5&amp;" - "&amp;D5</f>
        <v>0 - 8000</v>
      </c>
      <c r="C5" s="145">
        <v>0</v>
      </c>
      <c r="D5" s="145">
        <v>8000</v>
      </c>
      <c r="E5" s="146">
        <v>5.7500000000000002E-2</v>
      </c>
      <c r="I5" s="80" t="str">
        <f>"Formula is "&amp;ADDRESS(ROW(F6),COLUMN(F6),4)&amp;":"</f>
        <v>Formula is F6:</v>
      </c>
      <c r="J5" s="80" t="str">
        <f>"Formula is "&amp;ADDRESS(ROW(G6),COLUMN(G6),4)&amp;":"</f>
        <v>Formula is G6:</v>
      </c>
    </row>
    <row r="6" spans="1:10" x14ac:dyDescent="0.25">
      <c r="B6" s="40" t="str">
        <f t="shared" si="0"/>
        <v>8000.01 - 13500</v>
      </c>
      <c r="C6" s="66">
        <v>8000.01</v>
      </c>
      <c r="D6" s="66">
        <v>13500</v>
      </c>
      <c r="E6" s="95">
        <v>6.7500000000000004E-2</v>
      </c>
      <c r="F6" s="67">
        <f>D5</f>
        <v>8000</v>
      </c>
      <c r="G6" s="67">
        <f>G5+ROUND((F6-F5)*E5,2)</f>
        <v>460</v>
      </c>
      <c r="I6" t="str">
        <f ca="1">IF(_xlfn.ISFORMULA(F6),_xlfn.FORMULATEXT(F6),"")</f>
        <v>=D5</v>
      </c>
      <c r="J6" t="str">
        <f ca="1">IF(_xlfn.ISFORMULA(G6),_xlfn.FORMULATEXT(G6),"")</f>
        <v>=G5+ROUND((F6-F5)*E5,2)</v>
      </c>
    </row>
    <row r="7" spans="1:10" x14ac:dyDescent="0.25">
      <c r="B7" s="40" t="str">
        <f t="shared" si="0"/>
        <v>13500.01 - more</v>
      </c>
      <c r="C7" s="66">
        <v>13500.01</v>
      </c>
      <c r="D7" s="66" t="s">
        <v>125</v>
      </c>
      <c r="E7" s="95">
        <v>0.09</v>
      </c>
      <c r="F7" s="67">
        <f>D6</f>
        <v>13500</v>
      </c>
      <c r="G7" s="67">
        <f>G6+ROUND((F7-F6)*E6,2)</f>
        <v>831.25</v>
      </c>
    </row>
    <row r="9" spans="1:10" x14ac:dyDescent="0.25">
      <c r="B9" s="40" t="s">
        <v>300</v>
      </c>
      <c r="C9" s="66">
        <v>12000</v>
      </c>
    </row>
    <row r="10" spans="1:10" x14ac:dyDescent="0.25">
      <c r="A10" s="136" t="s">
        <v>360</v>
      </c>
    </row>
    <row r="11" spans="1:10" ht="30" x14ac:dyDescent="0.25">
      <c r="A11" s="136">
        <v>5</v>
      </c>
      <c r="B11" s="147" t="str">
        <f>G4</f>
        <v>Earnings Made Through Previous Category</v>
      </c>
      <c r="C11" s="60">
        <f>VLOOKUP($C$9,$C$5:$G$7,A11)</f>
        <v>460</v>
      </c>
      <c r="E11" t="str">
        <f ca="1">IF(_xlfn.ISFORMULA(C11),_xlfn.FORMULATEXT(C11),"")</f>
        <v>=VLOOKUP($C$9,$C$5:$G$7,A11)</v>
      </c>
    </row>
    <row r="12" spans="1:10" ht="30" x14ac:dyDescent="0.25">
      <c r="A12" s="136">
        <v>4</v>
      </c>
      <c r="B12" s="147" t="str">
        <f>F4</f>
        <v>Upper Limit from Previous Category</v>
      </c>
      <c r="C12" s="60">
        <f>VLOOKUP($C$9,$C$5:$G$7,A12)</f>
        <v>8000</v>
      </c>
      <c r="E12" t="str">
        <f t="shared" ref="E12:E17" ca="1" si="1">IF(_xlfn.ISFORMULA(C12),_xlfn.FORMULATEXT(C12),"")</f>
        <v>=VLOOKUP($C$9,$C$5:$G$7,A12)</v>
      </c>
    </row>
    <row r="13" spans="1:10" x14ac:dyDescent="0.25">
      <c r="A13" s="136">
        <v>3</v>
      </c>
      <c r="B13" s="147" t="str">
        <f>E4</f>
        <v>Commission Rate</v>
      </c>
      <c r="C13" s="60">
        <f>VLOOKUP($C$9,$C$5:$G$7,A13)</f>
        <v>6.7500000000000004E-2</v>
      </c>
      <c r="E13" t="str">
        <f t="shared" ca="1" si="1"/>
        <v>=VLOOKUP($C$9,$C$5:$G$7,A13)</v>
      </c>
    </row>
    <row r="14" spans="1:10" x14ac:dyDescent="0.25">
      <c r="B14" s="134" t="s">
        <v>110</v>
      </c>
      <c r="C14" s="67">
        <f>C11+(C9-C12)*C13</f>
        <v>730</v>
      </c>
      <c r="E14" t="str">
        <f t="shared" ca="1" si="1"/>
        <v>=C11+(C9-C12)*C13</v>
      </c>
    </row>
    <row r="15" spans="1:10" x14ac:dyDescent="0.25">
      <c r="E15" t="str">
        <f t="shared" ca="1" si="1"/>
        <v/>
      </c>
    </row>
    <row r="16" spans="1:10" x14ac:dyDescent="0.25">
      <c r="B16" s="40" t="s">
        <v>358</v>
      </c>
      <c r="C16" s="67">
        <f>G7+(C9-F7)*E7</f>
        <v>696.25</v>
      </c>
      <c r="E16" t="str">
        <f t="shared" ca="1" si="1"/>
        <v>=G7+(C9-F7)*E7</v>
      </c>
    </row>
    <row r="17" spans="2:11" x14ac:dyDescent="0.25">
      <c r="B17" s="40" t="s">
        <v>359</v>
      </c>
      <c r="C17" s="67">
        <f>VLOOKUP(C9,$C$5:$G$7,5)+(C9-VLOOKUP(C9,$C$5:$G$7,4))*VLOOKUP(C9,$C$5:$G$7,3)</f>
        <v>730</v>
      </c>
      <c r="E17" t="str">
        <f t="shared" ca="1" si="1"/>
        <v>=VLOOKUP(C9,$C$5:$G$7,5)+(C9-VLOOKUP(C9,$C$5:$G$7,4))*VLOOKUP(C9,$C$5:$G$7,3)</v>
      </c>
    </row>
    <row r="20" spans="2:11" x14ac:dyDescent="0.25">
      <c r="B20" s="141" t="s">
        <v>328</v>
      </c>
      <c r="C20" s="116"/>
      <c r="D20" s="116"/>
      <c r="E20" s="116"/>
      <c r="F20" s="116"/>
      <c r="G20" s="116"/>
      <c r="H20" s="116"/>
      <c r="I20" s="116"/>
      <c r="J20" s="116"/>
      <c r="K20" s="116"/>
    </row>
    <row r="22" spans="2:11" x14ac:dyDescent="0.25">
      <c r="B22" s="132" t="s">
        <v>102</v>
      </c>
      <c r="C22" s="132" t="s">
        <v>293</v>
      </c>
      <c r="D22" s="132" t="s">
        <v>294</v>
      </c>
      <c r="E22" s="132" t="s">
        <v>234</v>
      </c>
      <c r="F22" s="132" t="s">
        <v>295</v>
      </c>
    </row>
    <row r="23" spans="2:11" x14ac:dyDescent="0.25">
      <c r="B23" s="40" t="s">
        <v>296</v>
      </c>
      <c r="C23" s="66">
        <v>0</v>
      </c>
      <c r="D23" s="66">
        <v>8000</v>
      </c>
      <c r="E23" s="95">
        <v>5.7500000000000002E-2</v>
      </c>
      <c r="F23" s="67">
        <f>D23</f>
        <v>8000</v>
      </c>
    </row>
    <row r="24" spans="2:11" x14ac:dyDescent="0.25">
      <c r="B24" s="40" t="s">
        <v>297</v>
      </c>
      <c r="C24" s="66">
        <v>8000.01</v>
      </c>
      <c r="D24" s="66">
        <v>13500</v>
      </c>
      <c r="E24" s="95">
        <v>6.7500000000000004E-2</v>
      </c>
      <c r="F24" s="67">
        <f>D24-D23</f>
        <v>5500</v>
      </c>
    </row>
    <row r="25" spans="2:11" x14ac:dyDescent="0.25">
      <c r="B25" s="40" t="s">
        <v>298</v>
      </c>
      <c r="C25" s="66">
        <v>13500.01</v>
      </c>
      <c r="D25" s="66" t="s">
        <v>299</v>
      </c>
      <c r="E25" s="95">
        <v>0.09</v>
      </c>
      <c r="F25" s="40" t="s">
        <v>299</v>
      </c>
    </row>
    <row r="27" spans="2:11" x14ac:dyDescent="0.25">
      <c r="B27" s="40" t="s">
        <v>300</v>
      </c>
      <c r="C27" s="66">
        <v>12000</v>
      </c>
    </row>
    <row r="29" spans="2:11" x14ac:dyDescent="0.25">
      <c r="C29" s="132" t="s">
        <v>301</v>
      </c>
      <c r="D29" s="132" t="s">
        <v>234</v>
      </c>
      <c r="E29" s="132" t="s">
        <v>302</v>
      </c>
    </row>
    <row r="30" spans="2:11" x14ac:dyDescent="0.25">
      <c r="B30" t="s">
        <v>303</v>
      </c>
      <c r="C30" s="66">
        <f>F23</f>
        <v>8000</v>
      </c>
      <c r="D30" s="95">
        <f>E23</f>
        <v>5.7500000000000002E-2</v>
      </c>
      <c r="E30" s="67">
        <f>ROUND(D30*C30,2)</f>
        <v>460</v>
      </c>
    </row>
    <row r="31" spans="2:11" x14ac:dyDescent="0.25">
      <c r="B31" t="s">
        <v>304</v>
      </c>
      <c r="C31" s="67">
        <f>C27-C30</f>
        <v>4000</v>
      </c>
      <c r="D31" s="40"/>
      <c r="E31" s="40"/>
    </row>
    <row r="32" spans="2:11" x14ac:dyDescent="0.25">
      <c r="B32" t="s">
        <v>305</v>
      </c>
      <c r="C32" s="66">
        <f>C31</f>
        <v>4000</v>
      </c>
      <c r="D32" s="95">
        <f>E24</f>
        <v>6.7500000000000004E-2</v>
      </c>
      <c r="E32" s="67">
        <f>ROUND(C32*D32,2)</f>
        <v>270</v>
      </c>
    </row>
    <row r="34" spans="4:5" x14ac:dyDescent="0.25">
      <c r="D34" t="s">
        <v>291</v>
      </c>
      <c r="E34" s="67">
        <f>E32+E30</f>
        <v>730</v>
      </c>
    </row>
    <row r="37" spans="4:5" x14ac:dyDescent="0.25">
      <c r="D37" t="s">
        <v>137</v>
      </c>
      <c r="E37" s="135">
        <f>ROUND(F23*E23,2)+ROUND((C27-D23)*E24,2)</f>
        <v>730</v>
      </c>
    </row>
    <row r="60" spans="2:8" ht="90" x14ac:dyDescent="0.25">
      <c r="B60" s="132" t="e">
        <f>'HW(6an)'!#REF!</f>
        <v>#REF!</v>
      </c>
      <c r="C60" s="133" t="e">
        <f>'HW(6an)'!#REF!</f>
        <v>#REF!</v>
      </c>
      <c r="D60" s="133" t="e">
        <f>'HW(6an)'!#REF!</f>
        <v>#REF!</v>
      </c>
      <c r="E60" s="133" t="e">
        <f>'HW(6an)'!#REF!</f>
        <v>#REF!</v>
      </c>
      <c r="F60" s="133" t="e">
        <f>'HW(6an)'!#REF!</f>
        <v>#REF!</v>
      </c>
      <c r="G60" s="133" t="s">
        <v>289</v>
      </c>
      <c r="H60" s="133" t="s">
        <v>290</v>
      </c>
    </row>
    <row r="61" spans="2:8" x14ac:dyDescent="0.25">
      <c r="B61" s="134" t="e">
        <f>'HW(6an)'!#REF!</f>
        <v>#REF!</v>
      </c>
      <c r="C61" s="66" t="e">
        <f>'HW(6an)'!#REF!</f>
        <v>#REF!</v>
      </c>
      <c r="D61" s="66" t="e">
        <f>'HW(6an)'!#REF!</f>
        <v>#REF!</v>
      </c>
      <c r="E61" s="95" t="e">
        <f>'HW(6an)'!#REF!</f>
        <v>#REF!</v>
      </c>
      <c r="F61" s="67" t="e">
        <f>D61</f>
        <v>#REF!</v>
      </c>
      <c r="G61" s="60">
        <v>0</v>
      </c>
      <c r="H61" s="60">
        <v>0</v>
      </c>
    </row>
    <row r="62" spans="2:8" x14ac:dyDescent="0.25">
      <c r="B62" s="134" t="e">
        <f>'HW(6an)'!#REF!</f>
        <v>#REF!</v>
      </c>
      <c r="C62" s="67" t="e">
        <f t="shared" ref="C62:C63" si="2">D61+0.01</f>
        <v>#REF!</v>
      </c>
      <c r="D62" s="66" t="e">
        <f>'HW(6an)'!#REF!</f>
        <v>#REF!</v>
      </c>
      <c r="E62" s="95" t="e">
        <f>'HW(6an)'!#REF!</f>
        <v>#REF!</v>
      </c>
      <c r="F62" s="67" t="e">
        <f>D62-D61</f>
        <v>#REF!</v>
      </c>
      <c r="G62" s="67" t="e">
        <f>G61+ROUND(F61*E61,2)</f>
        <v>#REF!</v>
      </c>
      <c r="H62" s="67" t="e">
        <f>D61</f>
        <v>#REF!</v>
      </c>
    </row>
    <row r="63" spans="2:8" x14ac:dyDescent="0.25">
      <c r="B63" s="134" t="e">
        <f>'HW(6an)'!#REF!</f>
        <v>#REF!</v>
      </c>
      <c r="C63" s="67" t="e">
        <f t="shared" si="2"/>
        <v>#REF!</v>
      </c>
      <c r="D63" s="66" t="e">
        <f>'HW(6an)'!#REF!</f>
        <v>#REF!</v>
      </c>
      <c r="E63" s="95" t="e">
        <f>'HW(6an)'!#REF!</f>
        <v>#REF!</v>
      </c>
      <c r="F63" s="67" t="e">
        <f>#REF!</f>
        <v>#REF!</v>
      </c>
      <c r="G63" s="67" t="e">
        <f>G62+ROUND(F62*E62,2)</f>
        <v>#REF!</v>
      </c>
      <c r="H63" s="67" t="e">
        <f>D62</f>
        <v>#REF!</v>
      </c>
    </row>
    <row r="65" spans="2:3" x14ac:dyDescent="0.25">
      <c r="B65" s="132" t="e">
        <f>'HW(6an)'!#REF!</f>
        <v>#REF!</v>
      </c>
      <c r="C65" s="40" t="e">
        <f>'HW(6an)'!#REF!</f>
        <v>#REF!</v>
      </c>
    </row>
    <row r="66" spans="2:3" x14ac:dyDescent="0.25">
      <c r="B66" s="132" t="e">
        <f>'HW(6an)'!#REF!</f>
        <v>#REF!</v>
      </c>
      <c r="C66" s="66" t="e">
        <f>'HW(6an)'!#REF!</f>
        <v>#REF!</v>
      </c>
    </row>
    <row r="67" spans="2:3" x14ac:dyDescent="0.25">
      <c r="B67" s="40" t="s">
        <v>291</v>
      </c>
      <c r="C67" s="67" t="e">
        <f>VLOOKUP(C66,$C$61:$H$63,5)+(C66-VLOOKUP(C66,$C$61:$H$63,6))*VLOOKUP(C66,$C$61:$H$63,3)</f>
        <v>#REF!</v>
      </c>
    </row>
    <row r="69" spans="2:3" x14ac:dyDescent="0.25">
      <c r="B69" s="40" t="s">
        <v>292</v>
      </c>
      <c r="C69" s="67" t="e">
        <f>G63+(C66-H63)*E63</f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10AFC-40DD-4F82-A836-577F5E8D129F}">
  <sheetPr>
    <tabColor rgb="FFFF0000"/>
  </sheetPr>
  <dimension ref="A1:G13"/>
  <sheetViews>
    <sheetView zoomScale="175" zoomScaleNormal="175" workbookViewId="0">
      <selection activeCell="E14" sqref="E14"/>
    </sheetView>
  </sheetViews>
  <sheetFormatPr defaultRowHeight="15" x14ac:dyDescent="0.25"/>
  <cols>
    <col min="1" max="1" width="5.42578125" customWidth="1"/>
    <col min="2" max="2" width="25.140625" customWidth="1"/>
    <col min="3" max="3" width="15" customWidth="1"/>
    <col min="4" max="4" width="13.85546875" bestFit="1" customWidth="1"/>
    <col min="5" max="5" width="8.85546875" customWidth="1"/>
    <col min="7" max="7" width="11" customWidth="1"/>
  </cols>
  <sheetData>
    <row r="1" spans="1:7" x14ac:dyDescent="0.25">
      <c r="A1" s="41" t="s">
        <v>109</v>
      </c>
      <c r="B1" s="48" t="s">
        <v>119</v>
      </c>
      <c r="C1" s="42"/>
      <c r="D1" s="42"/>
      <c r="E1" s="43"/>
    </row>
    <row r="2" spans="1:7" x14ac:dyDescent="0.25">
      <c r="B2" s="49" t="s">
        <v>120</v>
      </c>
      <c r="C2" s="46"/>
      <c r="D2" s="46"/>
      <c r="E2" s="47"/>
    </row>
    <row r="3" spans="1:7" x14ac:dyDescent="0.25">
      <c r="B3" s="50" t="s">
        <v>111</v>
      </c>
      <c r="C3" s="56">
        <v>1.35</v>
      </c>
    </row>
    <row r="4" spans="1:7" x14ac:dyDescent="0.25">
      <c r="B4" s="51" t="s">
        <v>113</v>
      </c>
      <c r="C4" s="52">
        <v>127</v>
      </c>
    </row>
    <row r="5" spans="1:7" x14ac:dyDescent="0.25">
      <c r="B5" s="51" t="s">
        <v>110</v>
      </c>
      <c r="C5" s="57">
        <f>C4*C3</f>
        <v>171.45000000000002</v>
      </c>
      <c r="E5" t="str">
        <f ca="1">IF(_xlfn.ISFORMULA(C5),""&amp;_xlfn.FORMULATEXT(C5),"")</f>
        <v>=C4*C3</v>
      </c>
    </row>
    <row r="7" spans="1:7" x14ac:dyDescent="0.25">
      <c r="A7" s="41" t="s">
        <v>112</v>
      </c>
      <c r="B7" s="48" t="s">
        <v>119</v>
      </c>
      <c r="C7" s="42"/>
      <c r="D7" s="42"/>
      <c r="E7" s="42"/>
      <c r="F7" s="42"/>
      <c r="G7" s="43"/>
    </row>
    <row r="8" spans="1:7" x14ac:dyDescent="0.25">
      <c r="A8" s="41"/>
      <c r="B8" s="49" t="s">
        <v>121</v>
      </c>
      <c r="C8" s="46"/>
      <c r="D8" s="46"/>
      <c r="E8" s="46"/>
      <c r="F8" s="46"/>
      <c r="G8" s="47"/>
    </row>
    <row r="9" spans="1:7" x14ac:dyDescent="0.25">
      <c r="B9" s="51" t="s">
        <v>103</v>
      </c>
      <c r="C9" s="51" t="s">
        <v>114</v>
      </c>
      <c r="D9" s="51" t="s">
        <v>104</v>
      </c>
      <c r="E9" s="51" t="s">
        <v>108</v>
      </c>
    </row>
    <row r="10" spans="1:7" x14ac:dyDescent="0.25">
      <c r="B10" s="40" t="s">
        <v>105</v>
      </c>
      <c r="C10" s="52">
        <v>39</v>
      </c>
      <c r="D10" s="55">
        <v>1.01</v>
      </c>
      <c r="E10" s="53">
        <f>ROUND(D10*C10,2)</f>
        <v>39.39</v>
      </c>
      <c r="G10" t="str">
        <f ca="1">IF(_xlfn.ISFORMULA(E10),""&amp;_xlfn.FORMULATEXT(E10),"")</f>
        <v>=ROUND(D10*C10,2)</v>
      </c>
    </row>
    <row r="11" spans="1:7" x14ac:dyDescent="0.25">
      <c r="B11" s="40" t="s">
        <v>106</v>
      </c>
      <c r="C11" s="52">
        <v>112</v>
      </c>
      <c r="D11" s="55">
        <v>0.27500000000000002</v>
      </c>
      <c r="E11" s="53">
        <f t="shared" ref="E11" si="0">ROUND(D11*C11,2)</f>
        <v>30.8</v>
      </c>
    </row>
    <row r="12" spans="1:7" x14ac:dyDescent="0.25">
      <c r="B12" s="40" t="s">
        <v>107</v>
      </c>
      <c r="C12" s="52">
        <v>21</v>
      </c>
      <c r="D12" s="55">
        <v>1.2749999999999999</v>
      </c>
      <c r="E12" s="53">
        <f>ROUND(D12*C12,2)</f>
        <v>26.78</v>
      </c>
    </row>
    <row r="13" spans="1:7" x14ac:dyDescent="0.25">
      <c r="C13" s="23"/>
      <c r="D13" s="52" t="s">
        <v>110</v>
      </c>
      <c r="E13" s="54">
        <f>SUM(E10:E12)</f>
        <v>96.97</v>
      </c>
      <c r="G13" t="str">
        <f ca="1">IF(_xlfn.ISFORMULA(E13),""&amp;_xlfn.FORMULATEXT(E13),"")</f>
        <v>=SUM(E10:E12)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EC855-82CF-4D93-AF62-5901167DDEE7}">
  <sheetPr>
    <tabColor rgb="FF0000FF"/>
  </sheetPr>
  <dimension ref="A1:H42"/>
  <sheetViews>
    <sheetView zoomScaleNormal="100" workbookViewId="0">
      <selection activeCell="A6" sqref="A6"/>
    </sheetView>
  </sheetViews>
  <sheetFormatPr defaultRowHeight="15" x14ac:dyDescent="0.25"/>
  <cols>
    <col min="1" max="1" width="11.7109375" customWidth="1"/>
    <col min="2" max="2" width="16.85546875" customWidth="1"/>
    <col min="3" max="3" width="18.28515625" customWidth="1"/>
    <col min="4" max="4" width="35.140625" customWidth="1"/>
    <col min="5" max="5" width="21.28515625" customWidth="1"/>
    <col min="6" max="6" width="2.28515625" customWidth="1"/>
    <col min="7" max="7" width="19.85546875" customWidth="1"/>
    <col min="8" max="8" width="15" bestFit="1" customWidth="1"/>
    <col min="10" max="10" width="16.28515625" bestFit="1" customWidth="1"/>
    <col min="11" max="11" width="17.28515625" bestFit="1" customWidth="1"/>
  </cols>
  <sheetData>
    <row r="1" spans="1:8" x14ac:dyDescent="0.25">
      <c r="A1" s="48" t="s">
        <v>365</v>
      </c>
      <c r="B1" s="42"/>
      <c r="C1" s="42"/>
      <c r="D1" s="42"/>
      <c r="E1" s="42"/>
      <c r="F1" s="42"/>
      <c r="G1" s="42"/>
      <c r="H1" s="43"/>
    </row>
    <row r="2" spans="1:8" x14ac:dyDescent="0.25">
      <c r="A2" s="62" t="s">
        <v>246</v>
      </c>
      <c r="B2" s="44"/>
      <c r="C2" s="44"/>
      <c r="D2" s="44"/>
      <c r="E2" s="44"/>
      <c r="F2" s="44"/>
      <c r="G2" s="44"/>
      <c r="H2" s="45"/>
    </row>
    <row r="3" spans="1:8" x14ac:dyDescent="0.25">
      <c r="A3" s="62" t="s">
        <v>233</v>
      </c>
      <c r="B3" s="44"/>
      <c r="C3" s="44"/>
      <c r="D3" s="44"/>
      <c r="E3" s="44"/>
      <c r="F3" s="44"/>
      <c r="G3" s="44"/>
      <c r="H3" s="45"/>
    </row>
    <row r="4" spans="1:8" x14ac:dyDescent="0.25">
      <c r="A4" s="49" t="s">
        <v>366</v>
      </c>
      <c r="B4" s="46"/>
      <c r="C4" s="46"/>
      <c r="D4" s="46"/>
      <c r="E4" s="46"/>
      <c r="F4" s="46"/>
      <c r="G4" s="46"/>
      <c r="H4" s="47"/>
    </row>
    <row r="8" spans="1:8" x14ac:dyDescent="0.25">
      <c r="G8" s="148" t="s">
        <v>364</v>
      </c>
      <c r="H8" s="149"/>
    </row>
    <row r="9" spans="1:8" x14ac:dyDescent="0.25">
      <c r="G9" s="79">
        <v>1</v>
      </c>
      <c r="H9" s="79">
        <v>2</v>
      </c>
    </row>
    <row r="10" spans="1:8" x14ac:dyDescent="0.25">
      <c r="A10" s="51" t="s">
        <v>362</v>
      </c>
      <c r="B10" s="51" t="s">
        <v>28</v>
      </c>
      <c r="C10" s="51" t="s">
        <v>361</v>
      </c>
      <c r="D10" s="51" t="s">
        <v>234</v>
      </c>
      <c r="E10" s="51" t="s">
        <v>235</v>
      </c>
      <c r="G10" s="51" t="s">
        <v>28</v>
      </c>
      <c r="H10" s="51" t="s">
        <v>234</v>
      </c>
    </row>
    <row r="11" spans="1:8" x14ac:dyDescent="0.25">
      <c r="A11" s="40" t="str">
        <f>"Q "&amp;COUNTIFS($B$11:B11,B11)</f>
        <v>Q 1</v>
      </c>
      <c r="B11" s="40" t="s">
        <v>217</v>
      </c>
      <c r="C11" s="113">
        <v>84753.3</v>
      </c>
      <c r="D11" s="54"/>
      <c r="E11" s="54"/>
      <c r="G11" s="40" t="s">
        <v>217</v>
      </c>
      <c r="H11" s="40">
        <v>8.2000000000000003E-2</v>
      </c>
    </row>
    <row r="12" spans="1:8" x14ac:dyDescent="0.25">
      <c r="A12" s="40" t="str">
        <f>"Q "&amp;COUNTIFS($B$11:B12,B12)</f>
        <v>Q 1</v>
      </c>
      <c r="B12" s="40" t="s">
        <v>218</v>
      </c>
      <c r="C12" s="113">
        <v>78134</v>
      </c>
      <c r="D12" s="54"/>
      <c r="E12" s="54"/>
      <c r="G12" s="40" t="s">
        <v>218</v>
      </c>
      <c r="H12" s="40">
        <v>6.4000000000000001E-2</v>
      </c>
    </row>
    <row r="13" spans="1:8" x14ac:dyDescent="0.25">
      <c r="A13" s="40" t="str">
        <f>"Q "&amp;COUNTIFS($B$11:B13,B13)</f>
        <v>Q 1</v>
      </c>
      <c r="B13" s="40" t="s">
        <v>219</v>
      </c>
      <c r="C13" s="113">
        <v>99243.199999999997</v>
      </c>
      <c r="D13" s="54"/>
      <c r="E13" s="54"/>
      <c r="G13" s="40" t="s">
        <v>219</v>
      </c>
      <c r="H13" s="40">
        <v>6.7000000000000004E-2</v>
      </c>
    </row>
    <row r="14" spans="1:8" x14ac:dyDescent="0.25">
      <c r="A14" s="40" t="str">
        <f>"Q "&amp;COUNTIFS($B$11:B14,B14)</f>
        <v>Q 1</v>
      </c>
      <c r="B14" s="40" t="s">
        <v>220</v>
      </c>
      <c r="C14" s="113">
        <v>117496.5</v>
      </c>
      <c r="D14" s="54"/>
      <c r="E14" s="54"/>
      <c r="G14" s="40" t="s">
        <v>220</v>
      </c>
      <c r="H14" s="40">
        <v>6.6000000000000003E-2</v>
      </c>
    </row>
    <row r="15" spans="1:8" x14ac:dyDescent="0.25">
      <c r="A15" s="40" t="str">
        <f>"Q "&amp;COUNTIFS($B$11:B15,B15)</f>
        <v>Q 1</v>
      </c>
      <c r="B15" s="40" t="s">
        <v>221</v>
      </c>
      <c r="C15" s="113">
        <v>89964.400000000009</v>
      </c>
      <c r="D15" s="54"/>
      <c r="E15" s="54"/>
      <c r="G15" s="40" t="s">
        <v>221</v>
      </c>
      <c r="H15" s="40">
        <v>6.3E-2</v>
      </c>
    </row>
    <row r="16" spans="1:8" x14ac:dyDescent="0.25">
      <c r="A16" s="40" t="str">
        <f>"Q "&amp;COUNTIFS($B$11:B16,B16)</f>
        <v>Q 1</v>
      </c>
      <c r="B16" s="40" t="s">
        <v>222</v>
      </c>
      <c r="C16" s="113">
        <v>114669.79999999999</v>
      </c>
      <c r="D16" s="54"/>
      <c r="E16" s="54"/>
      <c r="G16" s="40" t="s">
        <v>222</v>
      </c>
      <c r="H16" s="40">
        <v>7.8E-2</v>
      </c>
    </row>
    <row r="17" spans="1:8" x14ac:dyDescent="0.25">
      <c r="A17" s="40" t="str">
        <f>"Q "&amp;COUNTIFS($B$11:B17,B17)</f>
        <v>Q 1</v>
      </c>
      <c r="B17" s="40" t="s">
        <v>223</v>
      </c>
      <c r="C17" s="113">
        <v>94611.200000000012</v>
      </c>
      <c r="D17" s="54"/>
      <c r="E17" s="54"/>
      <c r="G17" s="40" t="s">
        <v>223</v>
      </c>
      <c r="H17" s="40">
        <v>6.5000000000000002E-2</v>
      </c>
    </row>
    <row r="18" spans="1:8" x14ac:dyDescent="0.25">
      <c r="A18" s="40" t="str">
        <f>"Q "&amp;COUNTIFS($B$11:B18,B18)</f>
        <v>Q 1</v>
      </c>
      <c r="B18" s="40" t="s">
        <v>224</v>
      </c>
      <c r="C18" s="113">
        <v>144388.9</v>
      </c>
      <c r="D18" s="54"/>
      <c r="E18" s="54"/>
      <c r="G18" s="40" t="s">
        <v>224</v>
      </c>
      <c r="H18" s="40">
        <v>6.3E-2</v>
      </c>
    </row>
    <row r="19" spans="1:8" x14ac:dyDescent="0.25">
      <c r="A19" s="40" t="str">
        <f>"Q "&amp;COUNTIFS($B$11:B19,B19)</f>
        <v>Q 1</v>
      </c>
      <c r="B19" s="40" t="s">
        <v>225</v>
      </c>
      <c r="C19" s="113">
        <v>82906.100000000006</v>
      </c>
      <c r="D19" s="54"/>
      <c r="E19" s="54"/>
      <c r="G19" s="40" t="s">
        <v>225</v>
      </c>
      <c r="H19" s="40">
        <v>8.5000000000000006E-2</v>
      </c>
    </row>
    <row r="20" spans="1:8" x14ac:dyDescent="0.25">
      <c r="A20" s="40" t="str">
        <f>"Q "&amp;COUNTIFS($B$11:B20,B20)</f>
        <v>Q 1</v>
      </c>
      <c r="B20" s="40" t="s">
        <v>226</v>
      </c>
      <c r="C20" s="113">
        <v>112350.1</v>
      </c>
      <c r="D20" s="54"/>
      <c r="E20" s="54"/>
      <c r="G20" s="40" t="s">
        <v>226</v>
      </c>
      <c r="H20" s="40">
        <v>6.3E-2</v>
      </c>
    </row>
    <row r="21" spans="1:8" x14ac:dyDescent="0.25">
      <c r="A21" s="40" t="str">
        <f>"Q "&amp;COUNTIFS($B$11:B21,B21)</f>
        <v>Q 2</v>
      </c>
      <c r="B21" s="40" t="s">
        <v>217</v>
      </c>
      <c r="C21" s="113">
        <v>139158.9</v>
      </c>
      <c r="D21" s="54"/>
      <c r="E21" s="54"/>
    </row>
    <row r="22" spans="1:8" x14ac:dyDescent="0.25">
      <c r="A22" s="40" t="str">
        <f>"Q "&amp;COUNTIFS($B$11:B22,B22)</f>
        <v>Q 2</v>
      </c>
      <c r="B22" s="40" t="s">
        <v>218</v>
      </c>
      <c r="C22" s="113">
        <v>113972.29999999999</v>
      </c>
      <c r="D22" s="54"/>
      <c r="E22" s="54"/>
    </row>
    <row r="23" spans="1:8" x14ac:dyDescent="0.25">
      <c r="A23" s="40" t="str">
        <f>"Q "&amp;COUNTIFS($B$11:B23,B23)</f>
        <v>Q 2</v>
      </c>
      <c r="B23" s="40" t="s">
        <v>219</v>
      </c>
      <c r="C23" s="113">
        <v>105649.59999999999</v>
      </c>
      <c r="D23" s="54"/>
      <c r="E23" s="54"/>
    </row>
    <row r="24" spans="1:8" x14ac:dyDescent="0.25">
      <c r="A24" s="40" t="str">
        <f>"Q "&amp;COUNTIFS($B$11:B24,B24)</f>
        <v>Q 2</v>
      </c>
      <c r="B24" s="40" t="s">
        <v>220</v>
      </c>
      <c r="C24" s="113">
        <v>101773.9</v>
      </c>
      <c r="D24" s="54"/>
      <c r="E24" s="54"/>
    </row>
    <row r="25" spans="1:8" x14ac:dyDescent="0.25">
      <c r="A25" s="40" t="str">
        <f>"Q "&amp;COUNTIFS($B$11:B25,B25)</f>
        <v>Q 2</v>
      </c>
      <c r="B25" s="40" t="s">
        <v>221</v>
      </c>
      <c r="C25" s="113">
        <v>144794.5</v>
      </c>
      <c r="D25" s="54"/>
      <c r="E25" s="54"/>
    </row>
    <row r="26" spans="1:8" x14ac:dyDescent="0.25">
      <c r="A26" s="40" t="str">
        <f>"Q "&amp;COUNTIFS($B$11:B26,B26)</f>
        <v>Q 2</v>
      </c>
      <c r="B26" s="40" t="s">
        <v>222</v>
      </c>
      <c r="C26" s="113">
        <v>98267.900000000009</v>
      </c>
      <c r="D26" s="54"/>
      <c r="E26" s="54"/>
    </row>
    <row r="27" spans="1:8" x14ac:dyDescent="0.25">
      <c r="A27" s="40" t="str">
        <f>"Q "&amp;COUNTIFS($B$11:B27,B27)</f>
        <v>Q 2</v>
      </c>
      <c r="B27" s="40" t="s">
        <v>223</v>
      </c>
      <c r="C27" s="113">
        <v>112208.6</v>
      </c>
      <c r="D27" s="54"/>
      <c r="E27" s="54"/>
    </row>
    <row r="28" spans="1:8" x14ac:dyDescent="0.25">
      <c r="A28" s="40" t="str">
        <f>"Q "&amp;COUNTIFS($B$11:B28,B28)</f>
        <v>Q 2</v>
      </c>
      <c r="B28" s="40" t="s">
        <v>224</v>
      </c>
      <c r="C28" s="113">
        <v>106242.90000000001</v>
      </c>
      <c r="D28" s="54"/>
      <c r="E28" s="54"/>
    </row>
    <row r="29" spans="1:8" x14ac:dyDescent="0.25">
      <c r="A29" s="40" t="str">
        <f>"Q "&amp;COUNTIFS($B$11:B29,B29)</f>
        <v>Q 2</v>
      </c>
      <c r="B29" s="40" t="s">
        <v>225</v>
      </c>
      <c r="C29" s="113">
        <v>134872.6</v>
      </c>
      <c r="D29" s="54"/>
      <c r="E29" s="54"/>
    </row>
    <row r="30" spans="1:8" x14ac:dyDescent="0.25">
      <c r="A30" s="40" t="str">
        <f>"Q "&amp;COUNTIFS($B$11:B30,B30)</f>
        <v>Q 2</v>
      </c>
      <c r="B30" s="40" t="s">
        <v>226</v>
      </c>
      <c r="C30" s="113">
        <v>116548</v>
      </c>
      <c r="D30" s="54"/>
      <c r="E30" s="54"/>
    </row>
    <row r="31" spans="1:8" x14ac:dyDescent="0.25">
      <c r="A31" s="40" t="str">
        <f>"Q "&amp;COUNTIFS($B$11:B31,B31)</f>
        <v>Q 3</v>
      </c>
      <c r="B31" s="40" t="s">
        <v>217</v>
      </c>
      <c r="C31" s="113">
        <v>93116.200000000012</v>
      </c>
      <c r="D31" s="54"/>
      <c r="E31" s="54"/>
    </row>
    <row r="32" spans="1:8" x14ac:dyDescent="0.25">
      <c r="A32" s="40" t="str">
        <f>"Q "&amp;COUNTIFS($B$11:B32,B32)</f>
        <v>Q 3</v>
      </c>
      <c r="B32" s="40" t="s">
        <v>218</v>
      </c>
      <c r="C32" s="113">
        <v>106644.40000000001</v>
      </c>
      <c r="D32" s="54"/>
      <c r="E32" s="54"/>
    </row>
    <row r="33" spans="1:5" x14ac:dyDescent="0.25">
      <c r="A33" s="40" t="str">
        <f>"Q "&amp;COUNTIFS($B$11:B33,B33)</f>
        <v>Q 3</v>
      </c>
      <c r="B33" s="40" t="s">
        <v>219</v>
      </c>
      <c r="C33" s="113">
        <v>138844</v>
      </c>
      <c r="D33" s="54"/>
      <c r="E33" s="54"/>
    </row>
    <row r="34" spans="1:5" x14ac:dyDescent="0.25">
      <c r="A34" s="40" t="str">
        <f>"Q "&amp;COUNTIFS($B$11:B34,B34)</f>
        <v>Q 3</v>
      </c>
      <c r="B34" s="40" t="s">
        <v>220</v>
      </c>
      <c r="C34" s="113">
        <v>77957.5</v>
      </c>
      <c r="D34" s="54"/>
      <c r="E34" s="54"/>
    </row>
    <row r="35" spans="1:5" x14ac:dyDescent="0.25">
      <c r="A35" s="40" t="str">
        <f>"Q "&amp;COUNTIFS($B$11:B35,B35)</f>
        <v>Q 3</v>
      </c>
      <c r="B35" s="40" t="s">
        <v>221</v>
      </c>
      <c r="C35" s="113">
        <v>117634.9</v>
      </c>
      <c r="D35" s="54"/>
      <c r="E35" s="54"/>
    </row>
    <row r="36" spans="1:5" x14ac:dyDescent="0.25">
      <c r="A36" s="40" t="str">
        <f>"Q "&amp;COUNTIFS($B$11:B36,B36)</f>
        <v>Q 3</v>
      </c>
      <c r="B36" s="40" t="s">
        <v>222</v>
      </c>
      <c r="C36" s="113">
        <v>144321.20000000001</v>
      </c>
      <c r="D36" s="54"/>
      <c r="E36" s="54"/>
    </row>
    <row r="37" spans="1:5" x14ac:dyDescent="0.25">
      <c r="A37" s="40" t="str">
        <f>"Q "&amp;COUNTIFS($B$11:B37,B37)</f>
        <v>Q 3</v>
      </c>
      <c r="B37" s="40" t="s">
        <v>223</v>
      </c>
      <c r="C37" s="113">
        <v>116618.70000000001</v>
      </c>
      <c r="D37" s="54"/>
      <c r="E37" s="54"/>
    </row>
    <row r="38" spans="1:5" x14ac:dyDescent="0.25">
      <c r="A38" s="40" t="str">
        <f>"Q "&amp;COUNTIFS($B$11:B38,B38)</f>
        <v>Q 3</v>
      </c>
      <c r="B38" s="40" t="s">
        <v>224</v>
      </c>
      <c r="C38" s="113">
        <v>84875.599999999991</v>
      </c>
      <c r="D38" s="54"/>
      <c r="E38" s="54"/>
    </row>
    <row r="39" spans="1:5" x14ac:dyDescent="0.25">
      <c r="A39" s="40" t="str">
        <f>"Q "&amp;COUNTIFS($B$11:B39,B39)</f>
        <v>Q 3</v>
      </c>
      <c r="B39" s="40" t="s">
        <v>225</v>
      </c>
      <c r="C39" s="113">
        <v>58972.200000000004</v>
      </c>
      <c r="D39" s="54"/>
      <c r="E39" s="54"/>
    </row>
    <row r="40" spans="1:5" x14ac:dyDescent="0.25">
      <c r="A40" s="40" t="str">
        <f>"Q "&amp;COUNTIFS($B$11:B40,B40)</f>
        <v>Q 3</v>
      </c>
      <c r="B40" s="40" t="s">
        <v>226</v>
      </c>
      <c r="C40" s="113">
        <v>112000.1</v>
      </c>
      <c r="D40" s="54"/>
      <c r="E40" s="54"/>
    </row>
    <row r="42" spans="1:5" x14ac:dyDescent="0.25">
      <c r="D42" s="64" t="s">
        <v>363</v>
      </c>
      <c r="E42" s="54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F7333-62C3-4756-B166-8A0E3AFB28DA}">
  <sheetPr>
    <tabColor rgb="FFFF0000"/>
  </sheetPr>
  <dimension ref="A1:H42"/>
  <sheetViews>
    <sheetView zoomScaleNormal="100" workbookViewId="0">
      <selection activeCell="A6" sqref="A6"/>
    </sheetView>
  </sheetViews>
  <sheetFormatPr defaultRowHeight="15" x14ac:dyDescent="0.25"/>
  <cols>
    <col min="1" max="1" width="11.7109375" customWidth="1"/>
    <col min="2" max="2" width="16.85546875" customWidth="1"/>
    <col min="3" max="3" width="18.28515625" customWidth="1"/>
    <col min="4" max="4" width="35.140625" customWidth="1"/>
    <col min="5" max="5" width="21.28515625" customWidth="1"/>
    <col min="6" max="6" width="2.28515625" customWidth="1"/>
    <col min="7" max="7" width="19.85546875" customWidth="1"/>
    <col min="8" max="8" width="15" bestFit="1" customWidth="1"/>
    <col min="10" max="10" width="16.28515625" bestFit="1" customWidth="1"/>
    <col min="11" max="11" width="17.28515625" bestFit="1" customWidth="1"/>
  </cols>
  <sheetData>
    <row r="1" spans="1:8" x14ac:dyDescent="0.25">
      <c r="A1" s="48" t="s">
        <v>365</v>
      </c>
      <c r="B1" s="42"/>
      <c r="C1" s="42"/>
      <c r="D1" s="42"/>
      <c r="E1" s="42"/>
      <c r="F1" s="42"/>
      <c r="G1" s="42"/>
      <c r="H1" s="43"/>
    </row>
    <row r="2" spans="1:8" x14ac:dyDescent="0.25">
      <c r="A2" s="62" t="s">
        <v>246</v>
      </c>
      <c r="B2" s="44"/>
      <c r="C2" s="44"/>
      <c r="D2" s="44"/>
      <c r="E2" s="44"/>
      <c r="F2" s="44"/>
      <c r="G2" s="44"/>
      <c r="H2" s="45"/>
    </row>
    <row r="3" spans="1:8" x14ac:dyDescent="0.25">
      <c r="A3" s="62" t="s">
        <v>233</v>
      </c>
      <c r="B3" s="44"/>
      <c r="C3" s="44"/>
      <c r="D3" s="44"/>
      <c r="E3" s="44"/>
      <c r="F3" s="44"/>
      <c r="G3" s="44"/>
      <c r="H3" s="45"/>
    </row>
    <row r="4" spans="1:8" x14ac:dyDescent="0.25">
      <c r="A4" s="49" t="s">
        <v>366</v>
      </c>
      <c r="B4" s="46"/>
      <c r="C4" s="46"/>
      <c r="D4" s="46"/>
      <c r="E4" s="46"/>
      <c r="F4" s="46"/>
      <c r="G4" s="46"/>
      <c r="H4" s="47"/>
    </row>
    <row r="7" spans="1:8" x14ac:dyDescent="0.25">
      <c r="D7" s="80" t="str">
        <f>"Formula is "&amp;ADDRESS(ROW(D11),COLUMN(D11),4)&amp;":"</f>
        <v>Formula is D11:</v>
      </c>
      <c r="E7" s="80" t="str">
        <f>"Formula is "&amp;ADDRESS(ROW(E11),COLUMN(E11),4)&amp;":"</f>
        <v>Formula is E11:</v>
      </c>
    </row>
    <row r="8" spans="1:8" x14ac:dyDescent="0.25">
      <c r="D8" t="str">
        <f ca="1">IF(_xlfn.ISFORMULA(D11),_xlfn.FORMULATEXT(D11),"")</f>
        <v>=VLOOKUP(B11,$G$11:$H$20,2,FALSE)</v>
      </c>
      <c r="E8" t="str">
        <f ca="1">IF(_xlfn.ISFORMULA(E11),_xlfn.FORMULATEXT(E11),"")</f>
        <v>=ROUND(C11*D11,2)</v>
      </c>
      <c r="G8" s="148" t="s">
        <v>364</v>
      </c>
      <c r="H8" s="149"/>
    </row>
    <row r="9" spans="1:8" x14ac:dyDescent="0.25">
      <c r="G9" s="79">
        <v>1</v>
      </c>
      <c r="H9" s="79">
        <v>2</v>
      </c>
    </row>
    <row r="10" spans="1:8" x14ac:dyDescent="0.25">
      <c r="A10" s="51" t="s">
        <v>362</v>
      </c>
      <c r="B10" s="51" t="s">
        <v>28</v>
      </c>
      <c r="C10" s="51" t="s">
        <v>361</v>
      </c>
      <c r="D10" s="51" t="s">
        <v>234</v>
      </c>
      <c r="E10" s="51" t="s">
        <v>235</v>
      </c>
      <c r="G10" s="51" t="s">
        <v>28</v>
      </c>
      <c r="H10" s="51" t="s">
        <v>234</v>
      </c>
    </row>
    <row r="11" spans="1:8" x14ac:dyDescent="0.25">
      <c r="A11" s="40" t="str">
        <f>"Q "&amp;COUNTIFS($B$11:B11,B11)</f>
        <v>Q 1</v>
      </c>
      <c r="B11" s="40" t="s">
        <v>217</v>
      </c>
      <c r="C11" s="113">
        <v>84753.3</v>
      </c>
      <c r="D11" s="60">
        <f t="shared" ref="D11:D40" si="0">VLOOKUP(B11,$G$11:$H$20,2,FALSE)</f>
        <v>8.2000000000000003E-2</v>
      </c>
      <c r="E11" s="57">
        <f>ROUND(C11*D11,2)</f>
        <v>6949.77</v>
      </c>
      <c r="G11" s="40" t="s">
        <v>217</v>
      </c>
      <c r="H11" s="40">
        <v>8.2000000000000003E-2</v>
      </c>
    </row>
    <row r="12" spans="1:8" x14ac:dyDescent="0.25">
      <c r="A12" s="40" t="str">
        <f>"Q "&amp;COUNTIFS($B$11:B12,B12)</f>
        <v>Q 1</v>
      </c>
      <c r="B12" s="40" t="s">
        <v>218</v>
      </c>
      <c r="C12" s="113">
        <v>78134</v>
      </c>
      <c r="D12" s="60">
        <f t="shared" si="0"/>
        <v>6.4000000000000001E-2</v>
      </c>
      <c r="E12" s="57">
        <f t="shared" ref="E12:E40" si="1">ROUND(C12*D12,2)</f>
        <v>5000.58</v>
      </c>
      <c r="G12" s="40" t="s">
        <v>218</v>
      </c>
      <c r="H12" s="40">
        <v>6.4000000000000001E-2</v>
      </c>
    </row>
    <row r="13" spans="1:8" x14ac:dyDescent="0.25">
      <c r="A13" s="40" t="str">
        <f>"Q "&amp;COUNTIFS($B$11:B13,B13)</f>
        <v>Q 1</v>
      </c>
      <c r="B13" s="40" t="s">
        <v>219</v>
      </c>
      <c r="C13" s="113">
        <v>99243.199999999997</v>
      </c>
      <c r="D13" s="60">
        <f t="shared" si="0"/>
        <v>6.7000000000000004E-2</v>
      </c>
      <c r="E13" s="57">
        <f t="shared" si="1"/>
        <v>6649.29</v>
      </c>
      <c r="G13" s="40" t="s">
        <v>219</v>
      </c>
      <c r="H13" s="40">
        <v>6.7000000000000004E-2</v>
      </c>
    </row>
    <row r="14" spans="1:8" x14ac:dyDescent="0.25">
      <c r="A14" s="40" t="str">
        <f>"Q "&amp;COUNTIFS($B$11:B14,B14)</f>
        <v>Q 1</v>
      </c>
      <c r="B14" s="40" t="s">
        <v>220</v>
      </c>
      <c r="C14" s="113">
        <v>117496.5</v>
      </c>
      <c r="D14" s="60">
        <f t="shared" si="0"/>
        <v>6.6000000000000003E-2</v>
      </c>
      <c r="E14" s="57">
        <f t="shared" si="1"/>
        <v>7754.77</v>
      </c>
      <c r="G14" s="40" t="s">
        <v>220</v>
      </c>
      <c r="H14" s="40">
        <v>6.6000000000000003E-2</v>
      </c>
    </row>
    <row r="15" spans="1:8" x14ac:dyDescent="0.25">
      <c r="A15" s="40" t="str">
        <f>"Q "&amp;COUNTIFS($B$11:B15,B15)</f>
        <v>Q 1</v>
      </c>
      <c r="B15" s="40" t="s">
        <v>221</v>
      </c>
      <c r="C15" s="113">
        <v>89964.400000000009</v>
      </c>
      <c r="D15" s="60">
        <f t="shared" si="0"/>
        <v>6.3E-2</v>
      </c>
      <c r="E15" s="57">
        <f t="shared" si="1"/>
        <v>5667.76</v>
      </c>
      <c r="G15" s="40" t="s">
        <v>221</v>
      </c>
      <c r="H15" s="40">
        <v>6.3E-2</v>
      </c>
    </row>
    <row r="16" spans="1:8" x14ac:dyDescent="0.25">
      <c r="A16" s="40" t="str">
        <f>"Q "&amp;COUNTIFS($B$11:B16,B16)</f>
        <v>Q 1</v>
      </c>
      <c r="B16" s="40" t="s">
        <v>222</v>
      </c>
      <c r="C16" s="113">
        <v>114669.79999999999</v>
      </c>
      <c r="D16" s="60">
        <f t="shared" si="0"/>
        <v>7.8E-2</v>
      </c>
      <c r="E16" s="57">
        <f t="shared" si="1"/>
        <v>8944.24</v>
      </c>
      <c r="G16" s="40" t="s">
        <v>222</v>
      </c>
      <c r="H16" s="40">
        <v>7.8E-2</v>
      </c>
    </row>
    <row r="17" spans="1:8" x14ac:dyDescent="0.25">
      <c r="A17" s="40" t="str">
        <f>"Q "&amp;COUNTIFS($B$11:B17,B17)</f>
        <v>Q 1</v>
      </c>
      <c r="B17" s="40" t="s">
        <v>223</v>
      </c>
      <c r="C17" s="113">
        <v>94611.200000000012</v>
      </c>
      <c r="D17" s="60">
        <f t="shared" si="0"/>
        <v>6.5000000000000002E-2</v>
      </c>
      <c r="E17" s="57">
        <f t="shared" si="1"/>
        <v>6149.73</v>
      </c>
      <c r="G17" s="40" t="s">
        <v>223</v>
      </c>
      <c r="H17" s="40">
        <v>6.5000000000000002E-2</v>
      </c>
    </row>
    <row r="18" spans="1:8" x14ac:dyDescent="0.25">
      <c r="A18" s="40" t="str">
        <f>"Q "&amp;COUNTIFS($B$11:B18,B18)</f>
        <v>Q 1</v>
      </c>
      <c r="B18" s="40" t="s">
        <v>224</v>
      </c>
      <c r="C18" s="113">
        <v>144388.9</v>
      </c>
      <c r="D18" s="60">
        <f t="shared" si="0"/>
        <v>6.3E-2</v>
      </c>
      <c r="E18" s="57">
        <f t="shared" si="1"/>
        <v>9096.5</v>
      </c>
      <c r="G18" s="40" t="s">
        <v>224</v>
      </c>
      <c r="H18" s="40">
        <v>6.3E-2</v>
      </c>
    </row>
    <row r="19" spans="1:8" x14ac:dyDescent="0.25">
      <c r="A19" s="40" t="str">
        <f>"Q "&amp;COUNTIFS($B$11:B19,B19)</f>
        <v>Q 1</v>
      </c>
      <c r="B19" s="40" t="s">
        <v>225</v>
      </c>
      <c r="C19" s="113">
        <v>82906.100000000006</v>
      </c>
      <c r="D19" s="60">
        <f t="shared" si="0"/>
        <v>8.5000000000000006E-2</v>
      </c>
      <c r="E19" s="57">
        <f t="shared" si="1"/>
        <v>7047.02</v>
      </c>
      <c r="G19" s="40" t="s">
        <v>225</v>
      </c>
      <c r="H19" s="40">
        <v>8.5000000000000006E-2</v>
      </c>
    </row>
    <row r="20" spans="1:8" x14ac:dyDescent="0.25">
      <c r="A20" s="40" t="str">
        <f>"Q "&amp;COUNTIFS($B$11:B20,B20)</f>
        <v>Q 1</v>
      </c>
      <c r="B20" s="40" t="s">
        <v>226</v>
      </c>
      <c r="C20" s="113">
        <v>112350.1</v>
      </c>
      <c r="D20" s="60">
        <f t="shared" si="0"/>
        <v>6.3E-2</v>
      </c>
      <c r="E20" s="57">
        <f t="shared" si="1"/>
        <v>7078.06</v>
      </c>
      <c r="G20" s="40" t="s">
        <v>226</v>
      </c>
      <c r="H20" s="40">
        <v>6.3E-2</v>
      </c>
    </row>
    <row r="21" spans="1:8" x14ac:dyDescent="0.25">
      <c r="A21" s="40" t="str">
        <f>"Q "&amp;COUNTIFS($B$11:B21,B21)</f>
        <v>Q 2</v>
      </c>
      <c r="B21" s="40" t="s">
        <v>217</v>
      </c>
      <c r="C21" s="113">
        <v>139158.9</v>
      </c>
      <c r="D21" s="60">
        <f t="shared" si="0"/>
        <v>8.2000000000000003E-2</v>
      </c>
      <c r="E21" s="57">
        <f t="shared" si="1"/>
        <v>11411.03</v>
      </c>
    </row>
    <row r="22" spans="1:8" x14ac:dyDescent="0.25">
      <c r="A22" s="40" t="str">
        <f>"Q "&amp;COUNTIFS($B$11:B22,B22)</f>
        <v>Q 2</v>
      </c>
      <c r="B22" s="40" t="s">
        <v>218</v>
      </c>
      <c r="C22" s="113">
        <v>113972.29999999999</v>
      </c>
      <c r="D22" s="60">
        <f t="shared" si="0"/>
        <v>6.4000000000000001E-2</v>
      </c>
      <c r="E22" s="57">
        <f t="shared" si="1"/>
        <v>7294.23</v>
      </c>
    </row>
    <row r="23" spans="1:8" x14ac:dyDescent="0.25">
      <c r="A23" s="40" t="str">
        <f>"Q "&amp;COUNTIFS($B$11:B23,B23)</f>
        <v>Q 2</v>
      </c>
      <c r="B23" s="40" t="s">
        <v>219</v>
      </c>
      <c r="C23" s="113">
        <v>105649.59999999999</v>
      </c>
      <c r="D23" s="60">
        <f t="shared" si="0"/>
        <v>6.7000000000000004E-2</v>
      </c>
      <c r="E23" s="57">
        <f t="shared" si="1"/>
        <v>7078.52</v>
      </c>
    </row>
    <row r="24" spans="1:8" x14ac:dyDescent="0.25">
      <c r="A24" s="40" t="str">
        <f>"Q "&amp;COUNTIFS($B$11:B24,B24)</f>
        <v>Q 2</v>
      </c>
      <c r="B24" s="40" t="s">
        <v>220</v>
      </c>
      <c r="C24" s="113">
        <v>101773.9</v>
      </c>
      <c r="D24" s="60">
        <f t="shared" si="0"/>
        <v>6.6000000000000003E-2</v>
      </c>
      <c r="E24" s="57">
        <f t="shared" si="1"/>
        <v>6717.08</v>
      </c>
    </row>
    <row r="25" spans="1:8" x14ac:dyDescent="0.25">
      <c r="A25" s="40" t="str">
        <f>"Q "&amp;COUNTIFS($B$11:B25,B25)</f>
        <v>Q 2</v>
      </c>
      <c r="B25" s="40" t="s">
        <v>221</v>
      </c>
      <c r="C25" s="113">
        <v>144794.5</v>
      </c>
      <c r="D25" s="60">
        <f t="shared" si="0"/>
        <v>6.3E-2</v>
      </c>
      <c r="E25" s="57">
        <f t="shared" si="1"/>
        <v>9122.0499999999993</v>
      </c>
    </row>
    <row r="26" spans="1:8" x14ac:dyDescent="0.25">
      <c r="A26" s="40" t="str">
        <f>"Q "&amp;COUNTIFS($B$11:B26,B26)</f>
        <v>Q 2</v>
      </c>
      <c r="B26" s="40" t="s">
        <v>222</v>
      </c>
      <c r="C26" s="113">
        <v>98267.900000000009</v>
      </c>
      <c r="D26" s="60">
        <f t="shared" si="0"/>
        <v>7.8E-2</v>
      </c>
      <c r="E26" s="57">
        <f t="shared" si="1"/>
        <v>7664.9</v>
      </c>
    </row>
    <row r="27" spans="1:8" x14ac:dyDescent="0.25">
      <c r="A27" s="40" t="str">
        <f>"Q "&amp;COUNTIFS($B$11:B27,B27)</f>
        <v>Q 2</v>
      </c>
      <c r="B27" s="40" t="s">
        <v>223</v>
      </c>
      <c r="C27" s="113">
        <v>112208.6</v>
      </c>
      <c r="D27" s="60">
        <f t="shared" si="0"/>
        <v>6.5000000000000002E-2</v>
      </c>
      <c r="E27" s="57">
        <f t="shared" si="1"/>
        <v>7293.56</v>
      </c>
    </row>
    <row r="28" spans="1:8" x14ac:dyDescent="0.25">
      <c r="A28" s="40" t="str">
        <f>"Q "&amp;COUNTIFS($B$11:B28,B28)</f>
        <v>Q 2</v>
      </c>
      <c r="B28" s="40" t="s">
        <v>224</v>
      </c>
      <c r="C28" s="113">
        <v>106242.90000000001</v>
      </c>
      <c r="D28" s="60">
        <f t="shared" si="0"/>
        <v>6.3E-2</v>
      </c>
      <c r="E28" s="57">
        <f t="shared" si="1"/>
        <v>6693.3</v>
      </c>
    </row>
    <row r="29" spans="1:8" x14ac:dyDescent="0.25">
      <c r="A29" s="40" t="str">
        <f>"Q "&amp;COUNTIFS($B$11:B29,B29)</f>
        <v>Q 2</v>
      </c>
      <c r="B29" s="40" t="s">
        <v>225</v>
      </c>
      <c r="C29" s="113">
        <v>134872.6</v>
      </c>
      <c r="D29" s="60">
        <f t="shared" si="0"/>
        <v>8.5000000000000006E-2</v>
      </c>
      <c r="E29" s="57">
        <f t="shared" si="1"/>
        <v>11464.17</v>
      </c>
    </row>
    <row r="30" spans="1:8" x14ac:dyDescent="0.25">
      <c r="A30" s="40" t="str">
        <f>"Q "&amp;COUNTIFS($B$11:B30,B30)</f>
        <v>Q 2</v>
      </c>
      <c r="B30" s="40" t="s">
        <v>226</v>
      </c>
      <c r="C30" s="113">
        <v>116548</v>
      </c>
      <c r="D30" s="60">
        <f t="shared" si="0"/>
        <v>6.3E-2</v>
      </c>
      <c r="E30" s="57">
        <f t="shared" si="1"/>
        <v>7342.52</v>
      </c>
    </row>
    <row r="31" spans="1:8" x14ac:dyDescent="0.25">
      <c r="A31" s="40" t="str">
        <f>"Q "&amp;COUNTIFS($B$11:B31,B31)</f>
        <v>Q 3</v>
      </c>
      <c r="B31" s="40" t="s">
        <v>217</v>
      </c>
      <c r="C31" s="113">
        <v>93116.200000000012</v>
      </c>
      <c r="D31" s="60">
        <f t="shared" si="0"/>
        <v>8.2000000000000003E-2</v>
      </c>
      <c r="E31" s="57">
        <f t="shared" si="1"/>
        <v>7635.53</v>
      </c>
    </row>
    <row r="32" spans="1:8" x14ac:dyDescent="0.25">
      <c r="A32" s="40" t="str">
        <f>"Q "&amp;COUNTIFS($B$11:B32,B32)</f>
        <v>Q 3</v>
      </c>
      <c r="B32" s="40" t="s">
        <v>218</v>
      </c>
      <c r="C32" s="113">
        <v>106644.40000000001</v>
      </c>
      <c r="D32" s="60">
        <f t="shared" si="0"/>
        <v>6.4000000000000001E-2</v>
      </c>
      <c r="E32" s="57">
        <f t="shared" si="1"/>
        <v>6825.24</v>
      </c>
    </row>
    <row r="33" spans="1:5" x14ac:dyDescent="0.25">
      <c r="A33" s="40" t="str">
        <f>"Q "&amp;COUNTIFS($B$11:B33,B33)</f>
        <v>Q 3</v>
      </c>
      <c r="B33" s="40" t="s">
        <v>219</v>
      </c>
      <c r="C33" s="113">
        <v>138844</v>
      </c>
      <c r="D33" s="60">
        <f t="shared" si="0"/>
        <v>6.7000000000000004E-2</v>
      </c>
      <c r="E33" s="57">
        <f t="shared" si="1"/>
        <v>9302.5499999999993</v>
      </c>
    </row>
    <row r="34" spans="1:5" x14ac:dyDescent="0.25">
      <c r="A34" s="40" t="str">
        <f>"Q "&amp;COUNTIFS($B$11:B34,B34)</f>
        <v>Q 3</v>
      </c>
      <c r="B34" s="40" t="s">
        <v>220</v>
      </c>
      <c r="C34" s="113">
        <v>77957.5</v>
      </c>
      <c r="D34" s="60">
        <f t="shared" si="0"/>
        <v>6.6000000000000003E-2</v>
      </c>
      <c r="E34" s="57">
        <f t="shared" si="1"/>
        <v>5145.2</v>
      </c>
    </row>
    <row r="35" spans="1:5" x14ac:dyDescent="0.25">
      <c r="A35" s="40" t="str">
        <f>"Q "&amp;COUNTIFS($B$11:B35,B35)</f>
        <v>Q 3</v>
      </c>
      <c r="B35" s="40" t="s">
        <v>221</v>
      </c>
      <c r="C35" s="113">
        <v>117634.9</v>
      </c>
      <c r="D35" s="60">
        <f t="shared" si="0"/>
        <v>6.3E-2</v>
      </c>
      <c r="E35" s="57">
        <f t="shared" si="1"/>
        <v>7411</v>
      </c>
    </row>
    <row r="36" spans="1:5" x14ac:dyDescent="0.25">
      <c r="A36" s="40" t="str">
        <f>"Q "&amp;COUNTIFS($B$11:B36,B36)</f>
        <v>Q 3</v>
      </c>
      <c r="B36" s="40" t="s">
        <v>222</v>
      </c>
      <c r="C36" s="113">
        <v>144321.20000000001</v>
      </c>
      <c r="D36" s="60">
        <f t="shared" si="0"/>
        <v>7.8E-2</v>
      </c>
      <c r="E36" s="57">
        <f t="shared" si="1"/>
        <v>11257.05</v>
      </c>
    </row>
    <row r="37" spans="1:5" x14ac:dyDescent="0.25">
      <c r="A37" s="40" t="str">
        <f>"Q "&amp;COUNTIFS($B$11:B37,B37)</f>
        <v>Q 3</v>
      </c>
      <c r="B37" s="40" t="s">
        <v>223</v>
      </c>
      <c r="C37" s="113">
        <v>116618.70000000001</v>
      </c>
      <c r="D37" s="60">
        <f t="shared" si="0"/>
        <v>6.5000000000000002E-2</v>
      </c>
      <c r="E37" s="57">
        <f t="shared" si="1"/>
        <v>7580.22</v>
      </c>
    </row>
    <row r="38" spans="1:5" x14ac:dyDescent="0.25">
      <c r="A38" s="40" t="str">
        <f>"Q "&amp;COUNTIFS($B$11:B38,B38)</f>
        <v>Q 3</v>
      </c>
      <c r="B38" s="40" t="s">
        <v>224</v>
      </c>
      <c r="C38" s="113">
        <v>84875.599999999991</v>
      </c>
      <c r="D38" s="60">
        <f t="shared" si="0"/>
        <v>6.3E-2</v>
      </c>
      <c r="E38" s="57">
        <f t="shared" si="1"/>
        <v>5347.16</v>
      </c>
    </row>
    <row r="39" spans="1:5" x14ac:dyDescent="0.25">
      <c r="A39" s="40" t="str">
        <f>"Q "&amp;COUNTIFS($B$11:B39,B39)</f>
        <v>Q 3</v>
      </c>
      <c r="B39" s="40" t="s">
        <v>225</v>
      </c>
      <c r="C39" s="113">
        <v>58972.200000000004</v>
      </c>
      <c r="D39" s="60">
        <f t="shared" si="0"/>
        <v>8.5000000000000006E-2</v>
      </c>
      <c r="E39" s="57">
        <f t="shared" si="1"/>
        <v>5012.6400000000003</v>
      </c>
    </row>
    <row r="40" spans="1:5" x14ac:dyDescent="0.25">
      <c r="A40" s="40" t="str">
        <f>"Q "&amp;COUNTIFS($B$11:B40,B40)</f>
        <v>Q 3</v>
      </c>
      <c r="B40" s="40" t="s">
        <v>226</v>
      </c>
      <c r="C40" s="113">
        <v>112000.1</v>
      </c>
      <c r="D40" s="60">
        <f t="shared" si="0"/>
        <v>6.3E-2</v>
      </c>
      <c r="E40" s="57">
        <f t="shared" si="1"/>
        <v>7056.01</v>
      </c>
    </row>
    <row r="42" spans="1:5" x14ac:dyDescent="0.25">
      <c r="D42" s="64" t="s">
        <v>363</v>
      </c>
      <c r="E42" s="67">
        <f>SUM(E11:E40)</f>
        <v>224991.68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8FB15-F44B-42E6-A0C1-CCEC0552E705}">
  <sheetPr>
    <tabColor rgb="FF0000FF"/>
  </sheetPr>
  <dimension ref="A1:AE216"/>
  <sheetViews>
    <sheetView workbookViewId="0">
      <selection activeCell="B19" sqref="B19"/>
    </sheetView>
  </sheetViews>
  <sheetFormatPr defaultRowHeight="15" x14ac:dyDescent="0.25"/>
  <cols>
    <col min="1" max="1" width="22.42578125" customWidth="1"/>
    <col min="2" max="2" width="21.140625" bestFit="1" customWidth="1"/>
    <col min="3" max="3" width="10.85546875" bestFit="1" customWidth="1"/>
    <col min="4" max="4" width="40" bestFit="1" customWidth="1"/>
    <col min="5" max="5" width="34.140625" bestFit="1" customWidth="1"/>
    <col min="6" max="6" width="22.42578125" customWidth="1"/>
    <col min="7" max="8" width="10.85546875" bestFit="1" customWidth="1"/>
    <col min="9" max="9" width="16.42578125" bestFit="1" customWidth="1"/>
    <col min="10" max="10" width="13.5703125" bestFit="1" customWidth="1"/>
    <col min="11" max="11" width="14.42578125" bestFit="1" customWidth="1"/>
    <col min="12" max="12" width="15.42578125" customWidth="1"/>
    <col min="13" max="13" width="11" bestFit="1" customWidth="1"/>
    <col min="14" max="14" width="10.85546875" bestFit="1" customWidth="1"/>
    <col min="15" max="28" width="10.85546875" customWidth="1"/>
    <col min="30" max="30" width="9.7109375" bestFit="1" customWidth="1"/>
  </cols>
  <sheetData>
    <row r="1" spans="1:31" x14ac:dyDescent="0.25">
      <c r="A1" s="48" t="s">
        <v>425</v>
      </c>
      <c r="B1" s="42"/>
      <c r="C1" s="42"/>
      <c r="D1" s="42"/>
      <c r="E1" s="42"/>
      <c r="F1" s="42"/>
      <c r="G1" s="42"/>
      <c r="H1" s="43"/>
      <c r="AD1" t="s">
        <v>423</v>
      </c>
      <c r="AE1" t="s">
        <v>422</v>
      </c>
    </row>
    <row r="2" spans="1:31" x14ac:dyDescent="0.25">
      <c r="A2" s="62" t="s">
        <v>426</v>
      </c>
      <c r="B2" s="44"/>
      <c r="C2" s="44"/>
      <c r="D2" s="44"/>
      <c r="E2" s="44"/>
      <c r="F2" s="44"/>
      <c r="G2" s="44"/>
      <c r="H2" s="45"/>
      <c r="AD2" s="152">
        <f ca="1">"2/24/2018"+COUNTIFS(AE$2:AE2,AE2)</f>
        <v>43156</v>
      </c>
      <c r="AE2">
        <f ca="1">CHOOSE(RANDBETWEEN(1,3),RANDBETWEEN(15000,20000),ABS(INT(_xlfn.NORM.INV(RAND(),12500,2500))),RANDBETWEEN(2500,34000))</f>
        <v>14512</v>
      </c>
    </row>
    <row r="3" spans="1:31" x14ac:dyDescent="0.25">
      <c r="A3" s="62" t="s">
        <v>427</v>
      </c>
      <c r="B3" s="44"/>
      <c r="C3" s="44"/>
      <c r="D3" s="44"/>
      <c r="E3" s="44"/>
      <c r="F3" s="44"/>
      <c r="G3" s="44"/>
      <c r="H3" s="45"/>
    </row>
    <row r="4" spans="1:31" x14ac:dyDescent="0.25">
      <c r="A4" s="49"/>
      <c r="B4" s="46"/>
      <c r="C4" s="46"/>
      <c r="D4" s="46"/>
      <c r="E4" s="46"/>
      <c r="F4" s="46"/>
      <c r="G4" s="46"/>
      <c r="H4" s="47"/>
    </row>
    <row r="7" spans="1:31" x14ac:dyDescent="0.25">
      <c r="A7" s="132" t="s">
        <v>102</v>
      </c>
      <c r="B7" s="132" t="s">
        <v>293</v>
      </c>
      <c r="C7" s="132" t="s">
        <v>294</v>
      </c>
      <c r="D7" s="133" t="s">
        <v>234</v>
      </c>
    </row>
    <row r="8" spans="1:31" x14ac:dyDescent="0.25">
      <c r="A8" s="66" t="str">
        <f t="shared" ref="A8:A13" si="0">DOLLAR(B8)&amp;IF(ISTEXT(C8)," "&amp;C8," to "&amp;DOLLAR(C8))</f>
        <v>$0.00 to $5,000.00</v>
      </c>
      <c r="B8" s="66">
        <v>0</v>
      </c>
      <c r="C8" s="66">
        <v>5000</v>
      </c>
      <c r="D8" s="150">
        <v>0.01</v>
      </c>
    </row>
    <row r="9" spans="1:31" x14ac:dyDescent="0.25">
      <c r="A9" s="66" t="str">
        <f t="shared" si="0"/>
        <v>$5,000.01 to $7,000.00</v>
      </c>
      <c r="B9" s="66">
        <f>C8+0.01</f>
        <v>5000.01</v>
      </c>
      <c r="C9" s="66">
        <v>7000</v>
      </c>
      <c r="D9" s="150">
        <v>1.4999999999999999E-2</v>
      </c>
    </row>
    <row r="10" spans="1:31" x14ac:dyDescent="0.25">
      <c r="A10" s="66" t="str">
        <f t="shared" si="0"/>
        <v>$7,000.01 to $9,000.00</v>
      </c>
      <c r="B10" s="66">
        <f t="shared" ref="B10:B13" si="1">C9+0.01</f>
        <v>7000.01</v>
      </c>
      <c r="C10" s="66">
        <v>9000</v>
      </c>
      <c r="D10" s="150">
        <v>2.5000000000000001E-2</v>
      </c>
    </row>
    <row r="11" spans="1:31" x14ac:dyDescent="0.25">
      <c r="A11" s="66" t="str">
        <f t="shared" si="0"/>
        <v>$9,000.01 to $15,000.00</v>
      </c>
      <c r="B11" s="66">
        <f t="shared" si="1"/>
        <v>9000.01</v>
      </c>
      <c r="C11" s="66">
        <v>15000</v>
      </c>
      <c r="D11" s="150">
        <v>0.04</v>
      </c>
    </row>
    <row r="12" spans="1:31" x14ac:dyDescent="0.25">
      <c r="A12" s="66" t="str">
        <f t="shared" si="0"/>
        <v>$15,000.01 to $25,000.00</v>
      </c>
      <c r="B12" s="66">
        <f t="shared" si="1"/>
        <v>15000.01</v>
      </c>
      <c r="C12" s="66">
        <v>25000</v>
      </c>
      <c r="D12" s="150">
        <v>0.05</v>
      </c>
    </row>
    <row r="13" spans="1:31" x14ac:dyDescent="0.25">
      <c r="A13" s="66" t="str">
        <f t="shared" si="0"/>
        <v>$25,000.01 or more</v>
      </c>
      <c r="B13" s="66">
        <f t="shared" si="1"/>
        <v>25000.01</v>
      </c>
      <c r="C13" s="66" t="s">
        <v>318</v>
      </c>
      <c r="D13" s="150">
        <v>7.4999999999999997E-2</v>
      </c>
    </row>
    <row r="14" spans="1:31" x14ac:dyDescent="0.25">
      <c r="F14" s="135"/>
    </row>
    <row r="16" spans="1:31" x14ac:dyDescent="0.25">
      <c r="A16" s="140" t="s">
        <v>227</v>
      </c>
      <c r="B16" s="151" t="s">
        <v>370</v>
      </c>
      <c r="C16" s="140" t="s">
        <v>421</v>
      </c>
    </row>
    <row r="17" spans="1:3" x14ac:dyDescent="0.25">
      <c r="A17" s="112">
        <f>"2/24/2018"+COUNTIFS($B$17:B17,B17)</f>
        <v>43156</v>
      </c>
      <c r="B17" s="40" t="s">
        <v>371</v>
      </c>
      <c r="C17" s="40">
        <v>15441</v>
      </c>
    </row>
    <row r="18" spans="1:3" x14ac:dyDescent="0.25">
      <c r="A18" s="112">
        <f>"2/24/2018"+COUNTIFS($B$17:B18,B18)</f>
        <v>43156</v>
      </c>
      <c r="B18" s="40" t="s">
        <v>372</v>
      </c>
      <c r="C18" s="40">
        <v>19925</v>
      </c>
    </row>
    <row r="19" spans="1:3" x14ac:dyDescent="0.25">
      <c r="A19" s="112">
        <f>"2/24/2018"+COUNTIFS($B$17:B19,B19)</f>
        <v>43156</v>
      </c>
      <c r="B19" s="40" t="s">
        <v>373</v>
      </c>
      <c r="C19" s="40">
        <v>13300</v>
      </c>
    </row>
    <row r="20" spans="1:3" x14ac:dyDescent="0.25">
      <c r="A20" s="112">
        <f>"2/24/2018"+COUNTIFS($B$17:B20,B20)</f>
        <v>43156</v>
      </c>
      <c r="B20" s="40" t="s">
        <v>374</v>
      </c>
      <c r="C20" s="40">
        <v>18386</v>
      </c>
    </row>
    <row r="21" spans="1:3" x14ac:dyDescent="0.25">
      <c r="A21" s="112">
        <f>"2/24/2018"+COUNTIFS($B$17:B21,B21)</f>
        <v>43156</v>
      </c>
      <c r="B21" s="40" t="s">
        <v>375</v>
      </c>
      <c r="C21" s="40">
        <v>7859</v>
      </c>
    </row>
    <row r="22" spans="1:3" x14ac:dyDescent="0.25">
      <c r="A22" s="112">
        <f>"2/24/2018"+COUNTIFS($B$17:B22,B22)</f>
        <v>43156</v>
      </c>
      <c r="B22" s="40" t="s">
        <v>376</v>
      </c>
      <c r="C22" s="40">
        <v>19546</v>
      </c>
    </row>
    <row r="23" spans="1:3" x14ac:dyDescent="0.25">
      <c r="A23" s="112">
        <f>"2/24/2018"+COUNTIFS($B$17:B23,B23)</f>
        <v>43156</v>
      </c>
      <c r="B23" s="40" t="s">
        <v>377</v>
      </c>
      <c r="C23" s="40">
        <v>22710</v>
      </c>
    </row>
    <row r="24" spans="1:3" x14ac:dyDescent="0.25">
      <c r="A24" s="112">
        <f>"2/24/2018"+COUNTIFS($B$17:B24,B24)</f>
        <v>43156</v>
      </c>
      <c r="B24" s="40" t="s">
        <v>378</v>
      </c>
      <c r="C24" s="40">
        <v>23126</v>
      </c>
    </row>
    <row r="25" spans="1:3" x14ac:dyDescent="0.25">
      <c r="A25" s="112">
        <f>"2/24/2018"+COUNTIFS($B$17:B25,B25)</f>
        <v>43156</v>
      </c>
      <c r="B25" s="40" t="s">
        <v>379</v>
      </c>
      <c r="C25" s="40">
        <v>12842</v>
      </c>
    </row>
    <row r="26" spans="1:3" x14ac:dyDescent="0.25">
      <c r="A26" s="112">
        <f>"2/24/2018"+COUNTIFS($B$17:B26,B26)</f>
        <v>43156</v>
      </c>
      <c r="B26" s="40" t="s">
        <v>380</v>
      </c>
      <c r="C26" s="40">
        <v>17598</v>
      </c>
    </row>
    <row r="27" spans="1:3" x14ac:dyDescent="0.25">
      <c r="A27" s="112">
        <f>"2/24/2018"+COUNTIFS($B$17:B27,B27)</f>
        <v>43156</v>
      </c>
      <c r="B27" s="40" t="s">
        <v>381</v>
      </c>
      <c r="C27" s="40">
        <v>13650</v>
      </c>
    </row>
    <row r="28" spans="1:3" x14ac:dyDescent="0.25">
      <c r="A28" s="112">
        <f>"2/24/2018"+COUNTIFS($B$17:B28,B28)</f>
        <v>43156</v>
      </c>
      <c r="B28" s="40" t="s">
        <v>382</v>
      </c>
      <c r="C28" s="40">
        <v>18857</v>
      </c>
    </row>
    <row r="29" spans="1:3" x14ac:dyDescent="0.25">
      <c r="A29" s="112">
        <f>"2/24/2018"+COUNTIFS($B$17:B29,B29)</f>
        <v>43156</v>
      </c>
      <c r="B29" s="40" t="s">
        <v>383</v>
      </c>
      <c r="C29" s="40">
        <v>16297</v>
      </c>
    </row>
    <row r="30" spans="1:3" x14ac:dyDescent="0.25">
      <c r="A30" s="112">
        <f>"2/24/2018"+COUNTIFS($B$17:B30,B30)</f>
        <v>43156</v>
      </c>
      <c r="B30" s="40" t="s">
        <v>384</v>
      </c>
      <c r="C30" s="40">
        <v>16552</v>
      </c>
    </row>
    <row r="31" spans="1:3" x14ac:dyDescent="0.25">
      <c r="A31" s="112">
        <f>"2/24/2018"+COUNTIFS($B$17:B31,B31)</f>
        <v>43156</v>
      </c>
      <c r="B31" s="40" t="s">
        <v>385</v>
      </c>
      <c r="C31" s="40">
        <v>4452</v>
      </c>
    </row>
    <row r="32" spans="1:3" x14ac:dyDescent="0.25">
      <c r="A32" s="112">
        <f>"2/24/2018"+COUNTIFS($B$17:B32,B32)</f>
        <v>43156</v>
      </c>
      <c r="B32" s="40" t="s">
        <v>386</v>
      </c>
      <c r="C32" s="40">
        <v>13246</v>
      </c>
    </row>
    <row r="33" spans="1:3" x14ac:dyDescent="0.25">
      <c r="A33" s="112">
        <f>"2/24/2018"+COUNTIFS($B$17:B33,B33)</f>
        <v>43156</v>
      </c>
      <c r="B33" s="40" t="s">
        <v>387</v>
      </c>
      <c r="C33" s="40">
        <v>19415</v>
      </c>
    </row>
    <row r="34" spans="1:3" x14ac:dyDescent="0.25">
      <c r="A34" s="112">
        <f>"2/24/2018"+COUNTIFS($B$17:B34,B34)</f>
        <v>43156</v>
      </c>
      <c r="B34" s="40" t="s">
        <v>388</v>
      </c>
      <c r="C34" s="40">
        <v>19004</v>
      </c>
    </row>
    <row r="35" spans="1:3" x14ac:dyDescent="0.25">
      <c r="A35" s="112">
        <f>"2/24/2018"+COUNTIFS($B$17:B35,B35)</f>
        <v>43156</v>
      </c>
      <c r="B35" s="40" t="s">
        <v>389</v>
      </c>
      <c r="C35" s="40">
        <v>14317</v>
      </c>
    </row>
    <row r="36" spans="1:3" x14ac:dyDescent="0.25">
      <c r="A36" s="112">
        <f>"2/24/2018"+COUNTIFS($B$17:B36,B36)</f>
        <v>43156</v>
      </c>
      <c r="B36" s="40" t="s">
        <v>390</v>
      </c>
      <c r="C36" s="40">
        <v>17590</v>
      </c>
    </row>
    <row r="37" spans="1:3" x14ac:dyDescent="0.25">
      <c r="A37" s="112">
        <f>"2/24/2018"+COUNTIFS($B$17:B37,B37)</f>
        <v>43156</v>
      </c>
      <c r="B37" s="40" t="s">
        <v>391</v>
      </c>
      <c r="C37" s="40">
        <v>10779</v>
      </c>
    </row>
    <row r="38" spans="1:3" x14ac:dyDescent="0.25">
      <c r="A38" s="112">
        <f>"2/24/2018"+COUNTIFS($B$17:B38,B38)</f>
        <v>43156</v>
      </c>
      <c r="B38" s="40" t="s">
        <v>392</v>
      </c>
      <c r="C38" s="40">
        <v>18938</v>
      </c>
    </row>
    <row r="39" spans="1:3" x14ac:dyDescent="0.25">
      <c r="A39" s="112">
        <f>"2/24/2018"+COUNTIFS($B$17:B39,B39)</f>
        <v>43156</v>
      </c>
      <c r="B39" s="40" t="s">
        <v>393</v>
      </c>
      <c r="C39" s="40">
        <v>11992</v>
      </c>
    </row>
    <row r="40" spans="1:3" x14ac:dyDescent="0.25">
      <c r="A40" s="112">
        <f>"2/24/2018"+COUNTIFS($B$17:B40,B40)</f>
        <v>43156</v>
      </c>
      <c r="B40" s="40" t="s">
        <v>394</v>
      </c>
      <c r="C40" s="40">
        <v>15319</v>
      </c>
    </row>
    <row r="41" spans="1:3" x14ac:dyDescent="0.25">
      <c r="A41" s="112">
        <f>"2/24/2018"+COUNTIFS($B$17:B41,B41)</f>
        <v>43156</v>
      </c>
      <c r="B41" s="40" t="s">
        <v>395</v>
      </c>
      <c r="C41" s="40">
        <v>15849</v>
      </c>
    </row>
    <row r="42" spans="1:3" x14ac:dyDescent="0.25">
      <c r="A42" s="112">
        <f>"2/24/2018"+COUNTIFS($B$17:B42,B42)</f>
        <v>43156</v>
      </c>
      <c r="B42" s="40" t="s">
        <v>396</v>
      </c>
      <c r="C42" s="40">
        <v>15161</v>
      </c>
    </row>
    <row r="43" spans="1:3" x14ac:dyDescent="0.25">
      <c r="A43" s="112">
        <f>"2/24/2018"+COUNTIFS($B$17:B43,B43)</f>
        <v>43156</v>
      </c>
      <c r="B43" s="40" t="s">
        <v>397</v>
      </c>
      <c r="C43" s="40">
        <v>9673</v>
      </c>
    </row>
    <row r="44" spans="1:3" x14ac:dyDescent="0.25">
      <c r="A44" s="112">
        <f>"2/24/2018"+COUNTIFS($B$17:B44,B44)</f>
        <v>43156</v>
      </c>
      <c r="B44" s="40" t="s">
        <v>398</v>
      </c>
      <c r="C44" s="40">
        <v>19832</v>
      </c>
    </row>
    <row r="45" spans="1:3" x14ac:dyDescent="0.25">
      <c r="A45" s="112">
        <f>"2/24/2018"+COUNTIFS($B$17:B45,B45)</f>
        <v>43156</v>
      </c>
      <c r="B45" s="40" t="s">
        <v>399</v>
      </c>
      <c r="C45" s="40">
        <v>12329</v>
      </c>
    </row>
    <row r="46" spans="1:3" x14ac:dyDescent="0.25">
      <c r="A46" s="112">
        <f>"2/24/2018"+COUNTIFS($B$17:B46,B46)</f>
        <v>43156</v>
      </c>
      <c r="B46" s="40" t="s">
        <v>400</v>
      </c>
      <c r="C46" s="40">
        <v>12139</v>
      </c>
    </row>
    <row r="47" spans="1:3" x14ac:dyDescent="0.25">
      <c r="A47" s="112">
        <f>"2/24/2018"+COUNTIFS($B$17:B47,B47)</f>
        <v>43156</v>
      </c>
      <c r="B47" s="40" t="s">
        <v>401</v>
      </c>
      <c r="C47" s="40">
        <v>15500</v>
      </c>
    </row>
    <row r="48" spans="1:3" x14ac:dyDescent="0.25">
      <c r="A48" s="112">
        <f>"2/24/2018"+COUNTIFS($B$17:B48,B48)</f>
        <v>43156</v>
      </c>
      <c r="B48" s="40" t="s">
        <v>402</v>
      </c>
      <c r="C48" s="40">
        <v>18714</v>
      </c>
    </row>
    <row r="49" spans="1:3" x14ac:dyDescent="0.25">
      <c r="A49" s="112">
        <f>"2/24/2018"+COUNTIFS($B$17:B49,B49)</f>
        <v>43156</v>
      </c>
      <c r="B49" s="40" t="s">
        <v>403</v>
      </c>
      <c r="C49" s="40">
        <v>12577</v>
      </c>
    </row>
    <row r="50" spans="1:3" x14ac:dyDescent="0.25">
      <c r="A50" s="112">
        <f>"2/24/2018"+COUNTIFS($B$17:B50,B50)</f>
        <v>43156</v>
      </c>
      <c r="B50" s="40" t="s">
        <v>404</v>
      </c>
      <c r="C50" s="40">
        <v>7317</v>
      </c>
    </row>
    <row r="51" spans="1:3" x14ac:dyDescent="0.25">
      <c r="A51" s="112">
        <f>"2/24/2018"+COUNTIFS($B$17:B51,B51)</f>
        <v>43156</v>
      </c>
      <c r="B51" s="40" t="s">
        <v>405</v>
      </c>
      <c r="C51" s="40">
        <v>11726</v>
      </c>
    </row>
    <row r="52" spans="1:3" x14ac:dyDescent="0.25">
      <c r="A52" s="112">
        <f>"2/24/2018"+COUNTIFS($B$17:B52,B52)</f>
        <v>43156</v>
      </c>
      <c r="B52" s="40" t="s">
        <v>406</v>
      </c>
      <c r="C52" s="40">
        <v>11876</v>
      </c>
    </row>
    <row r="53" spans="1:3" x14ac:dyDescent="0.25">
      <c r="A53" s="112">
        <f>"2/24/2018"+COUNTIFS($B$17:B53,B53)</f>
        <v>43156</v>
      </c>
      <c r="B53" s="40" t="s">
        <v>407</v>
      </c>
      <c r="C53" s="40">
        <v>18133</v>
      </c>
    </row>
    <row r="54" spans="1:3" x14ac:dyDescent="0.25">
      <c r="A54" s="112">
        <f>"2/24/2018"+COUNTIFS($B$17:B54,B54)</f>
        <v>43156</v>
      </c>
      <c r="B54" s="40" t="s">
        <v>408</v>
      </c>
      <c r="C54" s="40">
        <v>4633</v>
      </c>
    </row>
    <row r="55" spans="1:3" x14ac:dyDescent="0.25">
      <c r="A55" s="112">
        <f>"2/24/2018"+COUNTIFS($B$17:B55,B55)</f>
        <v>43156</v>
      </c>
      <c r="B55" s="40" t="s">
        <v>409</v>
      </c>
      <c r="C55" s="40">
        <v>14667</v>
      </c>
    </row>
    <row r="56" spans="1:3" x14ac:dyDescent="0.25">
      <c r="A56" s="112">
        <f>"2/24/2018"+COUNTIFS($B$17:B56,B56)</f>
        <v>43156</v>
      </c>
      <c r="B56" s="40" t="s">
        <v>410</v>
      </c>
      <c r="C56" s="40">
        <v>15594</v>
      </c>
    </row>
    <row r="57" spans="1:3" x14ac:dyDescent="0.25">
      <c r="A57" s="112">
        <f>"2/24/2018"+COUNTIFS($B$17:B57,B57)</f>
        <v>43156</v>
      </c>
      <c r="B57" s="40" t="s">
        <v>411</v>
      </c>
      <c r="C57" s="40">
        <v>19433</v>
      </c>
    </row>
    <row r="58" spans="1:3" x14ac:dyDescent="0.25">
      <c r="A58" s="112">
        <f>"2/24/2018"+COUNTIFS($B$17:B58,B58)</f>
        <v>43156</v>
      </c>
      <c r="B58" s="40" t="s">
        <v>412</v>
      </c>
      <c r="C58" s="40">
        <v>16516</v>
      </c>
    </row>
    <row r="59" spans="1:3" x14ac:dyDescent="0.25">
      <c r="A59" s="112">
        <f>"2/24/2018"+COUNTIFS($B$17:B59,B59)</f>
        <v>43156</v>
      </c>
      <c r="B59" s="40" t="s">
        <v>413</v>
      </c>
      <c r="C59" s="40">
        <v>17223</v>
      </c>
    </row>
    <row r="60" spans="1:3" x14ac:dyDescent="0.25">
      <c r="A60" s="112">
        <f>"2/24/2018"+COUNTIFS($B$17:B60,B60)</f>
        <v>43156</v>
      </c>
      <c r="B60" s="40" t="s">
        <v>414</v>
      </c>
      <c r="C60" s="40">
        <v>17349</v>
      </c>
    </row>
    <row r="61" spans="1:3" x14ac:dyDescent="0.25">
      <c r="A61" s="112">
        <f>"2/24/2018"+COUNTIFS($B$17:B61,B61)</f>
        <v>43156</v>
      </c>
      <c r="B61" s="40" t="s">
        <v>415</v>
      </c>
      <c r="C61" s="40">
        <v>27553</v>
      </c>
    </row>
    <row r="62" spans="1:3" x14ac:dyDescent="0.25">
      <c r="A62" s="112">
        <f>"2/24/2018"+COUNTIFS($B$17:B62,B62)</f>
        <v>43156</v>
      </c>
      <c r="B62" s="40" t="s">
        <v>416</v>
      </c>
      <c r="C62" s="40">
        <v>20516</v>
      </c>
    </row>
    <row r="63" spans="1:3" x14ac:dyDescent="0.25">
      <c r="A63" s="112">
        <f>"2/24/2018"+COUNTIFS($B$17:B63,B63)</f>
        <v>43156</v>
      </c>
      <c r="B63" s="40" t="s">
        <v>417</v>
      </c>
      <c r="C63" s="40">
        <v>3918</v>
      </c>
    </row>
    <row r="64" spans="1:3" x14ac:dyDescent="0.25">
      <c r="A64" s="112">
        <f>"2/24/2018"+COUNTIFS($B$17:B64,B64)</f>
        <v>43156</v>
      </c>
      <c r="B64" s="40" t="s">
        <v>418</v>
      </c>
      <c r="C64" s="40">
        <v>16608</v>
      </c>
    </row>
    <row r="65" spans="1:3" x14ac:dyDescent="0.25">
      <c r="A65" s="112">
        <f>"2/24/2018"+COUNTIFS($B$17:B65,B65)</f>
        <v>43156</v>
      </c>
      <c r="B65" s="40" t="s">
        <v>419</v>
      </c>
      <c r="C65" s="40">
        <v>9096</v>
      </c>
    </row>
    <row r="66" spans="1:3" x14ac:dyDescent="0.25">
      <c r="A66" s="112">
        <f>"2/24/2018"+COUNTIFS($B$17:B66,B66)</f>
        <v>43156</v>
      </c>
      <c r="B66" s="40" t="s">
        <v>420</v>
      </c>
      <c r="C66" s="40">
        <v>19735</v>
      </c>
    </row>
    <row r="67" spans="1:3" x14ac:dyDescent="0.25">
      <c r="A67" s="112">
        <f>"2/24/2018"+COUNTIFS($B$17:B67,B67)</f>
        <v>43157</v>
      </c>
      <c r="B67" s="40" t="s">
        <v>371</v>
      </c>
      <c r="C67" s="40">
        <v>29511</v>
      </c>
    </row>
    <row r="68" spans="1:3" x14ac:dyDescent="0.25">
      <c r="A68" s="112">
        <f>"2/24/2018"+COUNTIFS($B$17:B68,B68)</f>
        <v>43157</v>
      </c>
      <c r="B68" s="40" t="s">
        <v>372</v>
      </c>
      <c r="C68" s="40">
        <v>26221</v>
      </c>
    </row>
    <row r="69" spans="1:3" x14ac:dyDescent="0.25">
      <c r="A69" s="112">
        <f>"2/24/2018"+COUNTIFS($B$17:B69,B69)</f>
        <v>43157</v>
      </c>
      <c r="B69" s="40" t="s">
        <v>373</v>
      </c>
      <c r="C69" s="40">
        <v>10913</v>
      </c>
    </row>
    <row r="70" spans="1:3" x14ac:dyDescent="0.25">
      <c r="A70" s="112">
        <f>"2/24/2018"+COUNTIFS($B$17:B70,B70)</f>
        <v>43157</v>
      </c>
      <c r="B70" s="40" t="s">
        <v>374</v>
      </c>
      <c r="C70" s="40">
        <v>7711</v>
      </c>
    </row>
    <row r="71" spans="1:3" x14ac:dyDescent="0.25">
      <c r="A71" s="112">
        <f>"2/24/2018"+COUNTIFS($B$17:B71,B71)</f>
        <v>43157</v>
      </c>
      <c r="B71" s="40" t="s">
        <v>375</v>
      </c>
      <c r="C71" s="40">
        <v>15165</v>
      </c>
    </row>
    <row r="72" spans="1:3" x14ac:dyDescent="0.25">
      <c r="A72" s="112">
        <f>"2/24/2018"+COUNTIFS($B$17:B72,B72)</f>
        <v>43157</v>
      </c>
      <c r="B72" s="40" t="s">
        <v>376</v>
      </c>
      <c r="C72" s="40">
        <v>13180</v>
      </c>
    </row>
    <row r="73" spans="1:3" x14ac:dyDescent="0.25">
      <c r="A73" s="112">
        <f>"2/24/2018"+COUNTIFS($B$17:B73,B73)</f>
        <v>43157</v>
      </c>
      <c r="B73" s="40" t="s">
        <v>377</v>
      </c>
      <c r="C73" s="40">
        <v>16348</v>
      </c>
    </row>
    <row r="74" spans="1:3" x14ac:dyDescent="0.25">
      <c r="A74" s="112">
        <f>"2/24/2018"+COUNTIFS($B$17:B74,B74)</f>
        <v>43157</v>
      </c>
      <c r="B74" s="40" t="s">
        <v>378</v>
      </c>
      <c r="C74" s="40">
        <v>14950</v>
      </c>
    </row>
    <row r="75" spans="1:3" x14ac:dyDescent="0.25">
      <c r="A75" s="112">
        <f>"2/24/2018"+COUNTIFS($B$17:B75,B75)</f>
        <v>43157</v>
      </c>
      <c r="B75" s="40" t="s">
        <v>379</v>
      </c>
      <c r="C75" s="40">
        <v>30335</v>
      </c>
    </row>
    <row r="76" spans="1:3" x14ac:dyDescent="0.25">
      <c r="A76" s="112">
        <f>"2/24/2018"+COUNTIFS($B$17:B76,B76)</f>
        <v>43157</v>
      </c>
      <c r="B76" s="40" t="s">
        <v>380</v>
      </c>
      <c r="C76" s="40">
        <v>8921</v>
      </c>
    </row>
    <row r="77" spans="1:3" x14ac:dyDescent="0.25">
      <c r="A77" s="112">
        <f>"2/24/2018"+COUNTIFS($B$17:B77,B77)</f>
        <v>43157</v>
      </c>
      <c r="B77" s="40" t="s">
        <v>381</v>
      </c>
      <c r="C77" s="40">
        <v>15361</v>
      </c>
    </row>
    <row r="78" spans="1:3" x14ac:dyDescent="0.25">
      <c r="A78" s="112">
        <f>"2/24/2018"+COUNTIFS($B$17:B78,B78)</f>
        <v>43157</v>
      </c>
      <c r="B78" s="40" t="s">
        <v>382</v>
      </c>
      <c r="C78" s="40">
        <v>17937</v>
      </c>
    </row>
    <row r="79" spans="1:3" x14ac:dyDescent="0.25">
      <c r="A79" s="112">
        <f>"2/24/2018"+COUNTIFS($B$17:B79,B79)</f>
        <v>43157</v>
      </c>
      <c r="B79" s="40" t="s">
        <v>383</v>
      </c>
      <c r="C79" s="40">
        <v>12316</v>
      </c>
    </row>
    <row r="80" spans="1:3" x14ac:dyDescent="0.25">
      <c r="A80" s="112">
        <f>"2/24/2018"+COUNTIFS($B$17:B80,B80)</f>
        <v>43157</v>
      </c>
      <c r="B80" s="40" t="s">
        <v>384</v>
      </c>
      <c r="C80" s="40">
        <v>9701</v>
      </c>
    </row>
    <row r="81" spans="1:3" x14ac:dyDescent="0.25">
      <c r="A81" s="112">
        <f>"2/24/2018"+COUNTIFS($B$17:B81,B81)</f>
        <v>43157</v>
      </c>
      <c r="B81" s="40" t="s">
        <v>385</v>
      </c>
      <c r="C81" s="40">
        <v>23630</v>
      </c>
    </row>
    <row r="82" spans="1:3" x14ac:dyDescent="0.25">
      <c r="A82" s="112">
        <f>"2/24/2018"+COUNTIFS($B$17:B82,B82)</f>
        <v>43157</v>
      </c>
      <c r="B82" s="40" t="s">
        <v>386</v>
      </c>
      <c r="C82" s="40">
        <v>24397</v>
      </c>
    </row>
    <row r="83" spans="1:3" x14ac:dyDescent="0.25">
      <c r="A83" s="112">
        <f>"2/24/2018"+COUNTIFS($B$17:B83,B83)</f>
        <v>43157</v>
      </c>
      <c r="B83" s="40" t="s">
        <v>387</v>
      </c>
      <c r="C83" s="40">
        <v>14189</v>
      </c>
    </row>
    <row r="84" spans="1:3" x14ac:dyDescent="0.25">
      <c r="A84" s="112">
        <f>"2/24/2018"+COUNTIFS($B$17:B84,B84)</f>
        <v>43157</v>
      </c>
      <c r="B84" s="40" t="s">
        <v>388</v>
      </c>
      <c r="C84" s="40">
        <v>18111</v>
      </c>
    </row>
    <row r="85" spans="1:3" x14ac:dyDescent="0.25">
      <c r="A85" s="112">
        <f>"2/24/2018"+COUNTIFS($B$17:B85,B85)</f>
        <v>43157</v>
      </c>
      <c r="B85" s="40" t="s">
        <v>389</v>
      </c>
      <c r="C85" s="40">
        <v>18777</v>
      </c>
    </row>
    <row r="86" spans="1:3" x14ac:dyDescent="0.25">
      <c r="A86" s="112">
        <f>"2/24/2018"+COUNTIFS($B$17:B86,B86)</f>
        <v>43157</v>
      </c>
      <c r="B86" s="40" t="s">
        <v>390</v>
      </c>
      <c r="C86" s="40">
        <v>28814</v>
      </c>
    </row>
    <row r="87" spans="1:3" x14ac:dyDescent="0.25">
      <c r="A87" s="112">
        <f>"2/24/2018"+COUNTIFS($B$17:B87,B87)</f>
        <v>43157</v>
      </c>
      <c r="B87" s="40" t="s">
        <v>391</v>
      </c>
      <c r="C87" s="40">
        <v>15000</v>
      </c>
    </row>
    <row r="88" spans="1:3" x14ac:dyDescent="0.25">
      <c r="A88" s="112">
        <f>"2/24/2018"+COUNTIFS($B$17:B88,B88)</f>
        <v>43157</v>
      </c>
      <c r="B88" s="40" t="s">
        <v>392</v>
      </c>
      <c r="C88" s="40">
        <v>11817</v>
      </c>
    </row>
    <row r="89" spans="1:3" x14ac:dyDescent="0.25">
      <c r="A89" s="112">
        <f>"2/24/2018"+COUNTIFS($B$17:B89,B89)</f>
        <v>43157</v>
      </c>
      <c r="B89" s="40" t="s">
        <v>393</v>
      </c>
      <c r="C89" s="40">
        <v>14345</v>
      </c>
    </row>
    <row r="90" spans="1:3" x14ac:dyDescent="0.25">
      <c r="A90" s="112">
        <f>"2/24/2018"+COUNTIFS($B$17:B90,B90)</f>
        <v>43157</v>
      </c>
      <c r="B90" s="40" t="s">
        <v>394</v>
      </c>
      <c r="C90" s="40">
        <v>16289</v>
      </c>
    </row>
    <row r="91" spans="1:3" x14ac:dyDescent="0.25">
      <c r="A91" s="112">
        <f>"2/24/2018"+COUNTIFS($B$17:B91,B91)</f>
        <v>43157</v>
      </c>
      <c r="B91" s="40" t="s">
        <v>395</v>
      </c>
      <c r="C91" s="40">
        <v>17435</v>
      </c>
    </row>
    <row r="92" spans="1:3" x14ac:dyDescent="0.25">
      <c r="A92" s="112">
        <f>"2/24/2018"+COUNTIFS($B$17:B92,B92)</f>
        <v>43157</v>
      </c>
      <c r="B92" s="40" t="s">
        <v>396</v>
      </c>
      <c r="C92" s="40">
        <v>12725</v>
      </c>
    </row>
    <row r="93" spans="1:3" x14ac:dyDescent="0.25">
      <c r="A93" s="112">
        <f>"2/24/2018"+COUNTIFS($B$17:B93,B93)</f>
        <v>43157</v>
      </c>
      <c r="B93" s="40" t="s">
        <v>397</v>
      </c>
      <c r="C93" s="40">
        <v>16157</v>
      </c>
    </row>
    <row r="94" spans="1:3" x14ac:dyDescent="0.25">
      <c r="A94" s="112">
        <f>"2/24/2018"+COUNTIFS($B$17:B94,B94)</f>
        <v>43157</v>
      </c>
      <c r="B94" s="40" t="s">
        <v>398</v>
      </c>
      <c r="C94" s="40">
        <v>19661</v>
      </c>
    </row>
    <row r="95" spans="1:3" x14ac:dyDescent="0.25">
      <c r="A95" s="112">
        <f>"2/24/2018"+COUNTIFS($B$17:B95,B95)</f>
        <v>43157</v>
      </c>
      <c r="B95" s="40" t="s">
        <v>399</v>
      </c>
      <c r="C95" s="40">
        <v>15822</v>
      </c>
    </row>
    <row r="96" spans="1:3" x14ac:dyDescent="0.25">
      <c r="A96" s="112">
        <f>"2/24/2018"+COUNTIFS($B$17:B96,B96)</f>
        <v>43157</v>
      </c>
      <c r="B96" s="40" t="s">
        <v>400</v>
      </c>
      <c r="C96" s="40">
        <v>9922</v>
      </c>
    </row>
    <row r="97" spans="1:3" x14ac:dyDescent="0.25">
      <c r="A97" s="112">
        <f>"2/24/2018"+COUNTIFS($B$17:B97,B97)</f>
        <v>43157</v>
      </c>
      <c r="B97" s="40" t="s">
        <v>401</v>
      </c>
      <c r="C97" s="40">
        <v>12664</v>
      </c>
    </row>
    <row r="98" spans="1:3" x14ac:dyDescent="0.25">
      <c r="A98" s="112">
        <f>"2/24/2018"+COUNTIFS($B$17:B98,B98)</f>
        <v>43157</v>
      </c>
      <c r="B98" s="40" t="s">
        <v>402</v>
      </c>
      <c r="C98" s="40">
        <v>13896</v>
      </c>
    </row>
    <row r="99" spans="1:3" x14ac:dyDescent="0.25">
      <c r="A99" s="112">
        <f>"2/24/2018"+COUNTIFS($B$17:B99,B99)</f>
        <v>43157</v>
      </c>
      <c r="B99" s="40" t="s">
        <v>403</v>
      </c>
      <c r="C99" s="40">
        <v>25501</v>
      </c>
    </row>
    <row r="100" spans="1:3" x14ac:dyDescent="0.25">
      <c r="A100" s="112">
        <f>"2/24/2018"+COUNTIFS($B$17:B100,B100)</f>
        <v>43157</v>
      </c>
      <c r="B100" s="40" t="s">
        <v>404</v>
      </c>
      <c r="C100" s="40">
        <v>11527</v>
      </c>
    </row>
    <row r="101" spans="1:3" x14ac:dyDescent="0.25">
      <c r="A101" s="112">
        <f>"2/24/2018"+COUNTIFS($B$17:B101,B101)</f>
        <v>43157</v>
      </c>
      <c r="B101" s="40" t="s">
        <v>405</v>
      </c>
      <c r="C101" s="40">
        <v>19238</v>
      </c>
    </row>
    <row r="102" spans="1:3" x14ac:dyDescent="0.25">
      <c r="A102" s="112">
        <f>"2/24/2018"+COUNTIFS($B$17:B102,B102)</f>
        <v>43157</v>
      </c>
      <c r="B102" s="40" t="s">
        <v>406</v>
      </c>
      <c r="C102" s="40">
        <v>19440</v>
      </c>
    </row>
    <row r="103" spans="1:3" x14ac:dyDescent="0.25">
      <c r="A103" s="112">
        <f>"2/24/2018"+COUNTIFS($B$17:B103,B103)</f>
        <v>43157</v>
      </c>
      <c r="B103" s="40" t="s">
        <v>407</v>
      </c>
      <c r="C103" s="40">
        <v>18231</v>
      </c>
    </row>
    <row r="104" spans="1:3" x14ac:dyDescent="0.25">
      <c r="A104" s="112">
        <f>"2/24/2018"+COUNTIFS($B$17:B104,B104)</f>
        <v>43157</v>
      </c>
      <c r="B104" s="40" t="s">
        <v>408</v>
      </c>
      <c r="C104" s="40">
        <v>13234</v>
      </c>
    </row>
    <row r="105" spans="1:3" x14ac:dyDescent="0.25">
      <c r="A105" s="112">
        <f>"2/24/2018"+COUNTIFS($B$17:B105,B105)</f>
        <v>43157</v>
      </c>
      <c r="B105" s="40" t="s">
        <v>409</v>
      </c>
      <c r="C105" s="40">
        <v>15429</v>
      </c>
    </row>
    <row r="106" spans="1:3" x14ac:dyDescent="0.25">
      <c r="A106" s="112">
        <f>"2/24/2018"+COUNTIFS($B$17:B106,B106)</f>
        <v>43157</v>
      </c>
      <c r="B106" s="40" t="s">
        <v>410</v>
      </c>
      <c r="C106" s="40">
        <v>16801</v>
      </c>
    </row>
    <row r="107" spans="1:3" x14ac:dyDescent="0.25">
      <c r="A107" s="112">
        <f>"2/24/2018"+COUNTIFS($B$17:B107,B107)</f>
        <v>43157</v>
      </c>
      <c r="B107" s="40" t="s">
        <v>411</v>
      </c>
      <c r="C107" s="40">
        <v>15414</v>
      </c>
    </row>
    <row r="108" spans="1:3" x14ac:dyDescent="0.25">
      <c r="A108" s="112">
        <f>"2/24/2018"+COUNTIFS($B$17:B108,B108)</f>
        <v>43157</v>
      </c>
      <c r="B108" s="40" t="s">
        <v>412</v>
      </c>
      <c r="C108" s="40">
        <v>10556</v>
      </c>
    </row>
    <row r="109" spans="1:3" x14ac:dyDescent="0.25">
      <c r="A109" s="112">
        <f>"2/24/2018"+COUNTIFS($B$17:B109,B109)</f>
        <v>43157</v>
      </c>
      <c r="B109" s="40" t="s">
        <v>413</v>
      </c>
      <c r="C109" s="40">
        <v>16853</v>
      </c>
    </row>
    <row r="110" spans="1:3" x14ac:dyDescent="0.25">
      <c r="A110" s="112">
        <f>"2/24/2018"+COUNTIFS($B$17:B110,B110)</f>
        <v>43157</v>
      </c>
      <c r="B110" s="40" t="s">
        <v>414</v>
      </c>
      <c r="C110" s="40">
        <v>10214</v>
      </c>
    </row>
    <row r="111" spans="1:3" x14ac:dyDescent="0.25">
      <c r="A111" s="112">
        <f>"2/24/2018"+COUNTIFS($B$17:B111,B111)</f>
        <v>43157</v>
      </c>
      <c r="B111" s="40" t="s">
        <v>415</v>
      </c>
      <c r="C111" s="40">
        <v>19773</v>
      </c>
    </row>
    <row r="112" spans="1:3" x14ac:dyDescent="0.25">
      <c r="A112" s="112">
        <f>"2/24/2018"+COUNTIFS($B$17:B112,B112)</f>
        <v>43157</v>
      </c>
      <c r="B112" s="40" t="s">
        <v>416</v>
      </c>
      <c r="C112" s="40">
        <v>18665</v>
      </c>
    </row>
    <row r="113" spans="1:3" x14ac:dyDescent="0.25">
      <c r="A113" s="112">
        <f>"2/24/2018"+COUNTIFS($B$17:B113,B113)</f>
        <v>43157</v>
      </c>
      <c r="B113" s="40" t="s">
        <v>417</v>
      </c>
      <c r="C113" s="40">
        <v>17904</v>
      </c>
    </row>
    <row r="114" spans="1:3" x14ac:dyDescent="0.25">
      <c r="A114" s="112">
        <f>"2/24/2018"+COUNTIFS($B$17:B114,B114)</f>
        <v>43157</v>
      </c>
      <c r="B114" s="40" t="s">
        <v>418</v>
      </c>
      <c r="C114" s="40">
        <v>6672</v>
      </c>
    </row>
    <row r="115" spans="1:3" x14ac:dyDescent="0.25">
      <c r="A115" s="112">
        <f>"2/24/2018"+COUNTIFS($B$17:B115,B115)</f>
        <v>43157</v>
      </c>
      <c r="B115" s="40" t="s">
        <v>419</v>
      </c>
      <c r="C115" s="40">
        <v>10137</v>
      </c>
    </row>
    <row r="116" spans="1:3" x14ac:dyDescent="0.25">
      <c r="A116" s="112">
        <f>"2/24/2018"+COUNTIFS($B$17:B116,B116)</f>
        <v>43157</v>
      </c>
      <c r="B116" s="40" t="s">
        <v>420</v>
      </c>
      <c r="C116" s="40">
        <v>12268</v>
      </c>
    </row>
    <row r="117" spans="1:3" x14ac:dyDescent="0.25">
      <c r="A117" s="112">
        <f>"2/24/2018"+COUNTIFS($B$17:B117,B117)</f>
        <v>43158</v>
      </c>
      <c r="B117" s="40" t="s">
        <v>371</v>
      </c>
      <c r="C117" s="40">
        <v>10643</v>
      </c>
    </row>
    <row r="118" spans="1:3" x14ac:dyDescent="0.25">
      <c r="A118" s="112">
        <f>"2/24/2018"+COUNTIFS($B$17:B118,B118)</f>
        <v>43158</v>
      </c>
      <c r="B118" s="40" t="s">
        <v>372</v>
      </c>
      <c r="C118" s="40">
        <v>16306</v>
      </c>
    </row>
    <row r="119" spans="1:3" x14ac:dyDescent="0.25">
      <c r="A119" s="112">
        <f>"2/24/2018"+COUNTIFS($B$17:B119,B119)</f>
        <v>43158</v>
      </c>
      <c r="B119" s="40" t="s">
        <v>373</v>
      </c>
      <c r="C119" s="40">
        <v>11643</v>
      </c>
    </row>
    <row r="120" spans="1:3" x14ac:dyDescent="0.25">
      <c r="A120" s="112">
        <f>"2/24/2018"+COUNTIFS($B$17:B120,B120)</f>
        <v>43158</v>
      </c>
      <c r="B120" s="40" t="s">
        <v>374</v>
      </c>
      <c r="C120" s="40">
        <v>15301</v>
      </c>
    </row>
    <row r="121" spans="1:3" x14ac:dyDescent="0.25">
      <c r="A121" s="112">
        <f>"2/24/2018"+COUNTIFS($B$17:B121,B121)</f>
        <v>43158</v>
      </c>
      <c r="B121" s="40" t="s">
        <v>375</v>
      </c>
      <c r="C121" s="40">
        <v>21106</v>
      </c>
    </row>
    <row r="122" spans="1:3" x14ac:dyDescent="0.25">
      <c r="A122" s="112">
        <f>"2/24/2018"+COUNTIFS($B$17:B122,B122)</f>
        <v>43158</v>
      </c>
      <c r="B122" s="40" t="s">
        <v>376</v>
      </c>
      <c r="C122" s="40">
        <v>10601</v>
      </c>
    </row>
    <row r="123" spans="1:3" x14ac:dyDescent="0.25">
      <c r="A123" s="112">
        <f>"2/24/2018"+COUNTIFS($B$17:B123,B123)</f>
        <v>43158</v>
      </c>
      <c r="B123" s="40" t="s">
        <v>377</v>
      </c>
      <c r="C123" s="40">
        <v>32108</v>
      </c>
    </row>
    <row r="124" spans="1:3" x14ac:dyDescent="0.25">
      <c r="A124" s="112">
        <f>"2/24/2018"+COUNTIFS($B$17:B124,B124)</f>
        <v>43158</v>
      </c>
      <c r="B124" s="40" t="s">
        <v>378</v>
      </c>
      <c r="C124" s="40">
        <v>17218</v>
      </c>
    </row>
    <row r="125" spans="1:3" x14ac:dyDescent="0.25">
      <c r="A125" s="112">
        <f>"2/24/2018"+COUNTIFS($B$17:B125,B125)</f>
        <v>43158</v>
      </c>
      <c r="B125" s="40" t="s">
        <v>379</v>
      </c>
      <c r="C125" s="40">
        <v>32689</v>
      </c>
    </row>
    <row r="126" spans="1:3" x14ac:dyDescent="0.25">
      <c r="A126" s="112">
        <f>"2/24/2018"+COUNTIFS($B$17:B126,B126)</f>
        <v>43158</v>
      </c>
      <c r="B126" s="40" t="s">
        <v>380</v>
      </c>
      <c r="C126" s="40">
        <v>13400</v>
      </c>
    </row>
    <row r="127" spans="1:3" x14ac:dyDescent="0.25">
      <c r="A127" s="112">
        <f>"2/24/2018"+COUNTIFS($B$17:B127,B127)</f>
        <v>43158</v>
      </c>
      <c r="B127" s="40" t="s">
        <v>381</v>
      </c>
      <c r="C127" s="40">
        <v>11546</v>
      </c>
    </row>
    <row r="128" spans="1:3" x14ac:dyDescent="0.25">
      <c r="A128" s="112">
        <f>"2/24/2018"+COUNTIFS($B$17:B128,B128)</f>
        <v>43158</v>
      </c>
      <c r="B128" s="40" t="s">
        <v>382</v>
      </c>
      <c r="C128" s="40">
        <v>24739</v>
      </c>
    </row>
    <row r="129" spans="1:3" x14ac:dyDescent="0.25">
      <c r="A129" s="112">
        <f>"2/24/2018"+COUNTIFS($B$17:B129,B129)</f>
        <v>43158</v>
      </c>
      <c r="B129" s="40" t="s">
        <v>383</v>
      </c>
      <c r="C129" s="40">
        <v>13125</v>
      </c>
    </row>
    <row r="130" spans="1:3" x14ac:dyDescent="0.25">
      <c r="A130" s="112">
        <f>"2/24/2018"+COUNTIFS($B$17:B130,B130)</f>
        <v>43158</v>
      </c>
      <c r="B130" s="40" t="s">
        <v>384</v>
      </c>
      <c r="C130" s="40">
        <v>15415</v>
      </c>
    </row>
    <row r="131" spans="1:3" x14ac:dyDescent="0.25">
      <c r="A131" s="112">
        <f>"2/24/2018"+COUNTIFS($B$17:B131,B131)</f>
        <v>43158</v>
      </c>
      <c r="B131" s="40" t="s">
        <v>385</v>
      </c>
      <c r="C131" s="40">
        <v>10228</v>
      </c>
    </row>
    <row r="132" spans="1:3" x14ac:dyDescent="0.25">
      <c r="A132" s="112">
        <f>"2/24/2018"+COUNTIFS($B$17:B132,B132)</f>
        <v>43158</v>
      </c>
      <c r="B132" s="40" t="s">
        <v>386</v>
      </c>
      <c r="C132" s="40">
        <v>9868</v>
      </c>
    </row>
    <row r="133" spans="1:3" x14ac:dyDescent="0.25">
      <c r="A133" s="112">
        <f>"2/24/2018"+COUNTIFS($B$17:B133,B133)</f>
        <v>43158</v>
      </c>
      <c r="B133" s="40" t="s">
        <v>387</v>
      </c>
      <c r="C133" s="40">
        <v>9152</v>
      </c>
    </row>
    <row r="134" spans="1:3" x14ac:dyDescent="0.25">
      <c r="A134" s="112">
        <f>"2/24/2018"+COUNTIFS($B$17:B134,B134)</f>
        <v>43158</v>
      </c>
      <c r="B134" s="40" t="s">
        <v>388</v>
      </c>
      <c r="C134" s="40">
        <v>13569</v>
      </c>
    </row>
    <row r="135" spans="1:3" x14ac:dyDescent="0.25">
      <c r="A135" s="112">
        <f>"2/24/2018"+COUNTIFS($B$17:B135,B135)</f>
        <v>43158</v>
      </c>
      <c r="B135" s="40" t="s">
        <v>389</v>
      </c>
      <c r="C135" s="40">
        <v>13795</v>
      </c>
    </row>
    <row r="136" spans="1:3" x14ac:dyDescent="0.25">
      <c r="A136" s="112">
        <f>"2/24/2018"+COUNTIFS($B$17:B136,B136)</f>
        <v>43158</v>
      </c>
      <c r="B136" s="40" t="s">
        <v>390</v>
      </c>
      <c r="C136" s="40">
        <v>17344</v>
      </c>
    </row>
    <row r="137" spans="1:3" x14ac:dyDescent="0.25">
      <c r="A137" s="112">
        <f>"2/24/2018"+COUNTIFS($B$17:B137,B137)</f>
        <v>43158</v>
      </c>
      <c r="B137" s="40" t="s">
        <v>391</v>
      </c>
      <c r="C137" s="40">
        <v>15531</v>
      </c>
    </row>
    <row r="138" spans="1:3" x14ac:dyDescent="0.25">
      <c r="A138" s="112">
        <f>"2/24/2018"+COUNTIFS($B$17:B138,B138)</f>
        <v>43158</v>
      </c>
      <c r="B138" s="40" t="s">
        <v>392</v>
      </c>
      <c r="C138" s="40">
        <v>22885</v>
      </c>
    </row>
    <row r="139" spans="1:3" x14ac:dyDescent="0.25">
      <c r="A139" s="112">
        <f>"2/24/2018"+COUNTIFS($B$17:B139,B139)</f>
        <v>43158</v>
      </c>
      <c r="B139" s="40" t="s">
        <v>393</v>
      </c>
      <c r="C139" s="40">
        <v>11777</v>
      </c>
    </row>
    <row r="140" spans="1:3" x14ac:dyDescent="0.25">
      <c r="A140" s="112">
        <f>"2/24/2018"+COUNTIFS($B$17:B140,B140)</f>
        <v>43158</v>
      </c>
      <c r="B140" s="40" t="s">
        <v>394</v>
      </c>
      <c r="C140" s="40">
        <v>12869</v>
      </c>
    </row>
    <row r="141" spans="1:3" x14ac:dyDescent="0.25">
      <c r="A141" s="112">
        <f>"2/24/2018"+COUNTIFS($B$17:B141,B141)</f>
        <v>43158</v>
      </c>
      <c r="B141" s="40" t="s">
        <v>395</v>
      </c>
      <c r="C141" s="40">
        <v>8633</v>
      </c>
    </row>
    <row r="142" spans="1:3" x14ac:dyDescent="0.25">
      <c r="A142" s="112">
        <f>"2/24/2018"+COUNTIFS($B$17:B142,B142)</f>
        <v>43158</v>
      </c>
      <c r="B142" s="40" t="s">
        <v>396</v>
      </c>
      <c r="C142" s="40">
        <v>15454</v>
      </c>
    </row>
    <row r="143" spans="1:3" x14ac:dyDescent="0.25">
      <c r="A143" s="112">
        <f>"2/24/2018"+COUNTIFS($B$17:B143,B143)</f>
        <v>43158</v>
      </c>
      <c r="B143" s="40" t="s">
        <v>397</v>
      </c>
      <c r="C143" s="40">
        <v>10220</v>
      </c>
    </row>
    <row r="144" spans="1:3" x14ac:dyDescent="0.25">
      <c r="A144" s="112">
        <f>"2/24/2018"+COUNTIFS($B$17:B144,B144)</f>
        <v>43158</v>
      </c>
      <c r="B144" s="40" t="s">
        <v>398</v>
      </c>
      <c r="C144" s="40">
        <v>33963</v>
      </c>
    </row>
    <row r="145" spans="1:3" x14ac:dyDescent="0.25">
      <c r="A145" s="112">
        <f>"2/24/2018"+COUNTIFS($B$17:B145,B145)</f>
        <v>43158</v>
      </c>
      <c r="B145" s="40" t="s">
        <v>399</v>
      </c>
      <c r="C145" s="40">
        <v>19628</v>
      </c>
    </row>
    <row r="146" spans="1:3" x14ac:dyDescent="0.25">
      <c r="A146" s="112">
        <f>"2/24/2018"+COUNTIFS($B$17:B146,B146)</f>
        <v>43158</v>
      </c>
      <c r="B146" s="40" t="s">
        <v>400</v>
      </c>
      <c r="C146" s="40">
        <v>18465</v>
      </c>
    </row>
    <row r="147" spans="1:3" x14ac:dyDescent="0.25">
      <c r="A147" s="112">
        <f>"2/24/2018"+COUNTIFS($B$17:B147,B147)</f>
        <v>43158</v>
      </c>
      <c r="B147" s="40" t="s">
        <v>401</v>
      </c>
      <c r="C147" s="40">
        <v>14284</v>
      </c>
    </row>
    <row r="148" spans="1:3" x14ac:dyDescent="0.25">
      <c r="A148" s="112">
        <f>"2/24/2018"+COUNTIFS($B$17:B148,B148)</f>
        <v>43158</v>
      </c>
      <c r="B148" s="40" t="s">
        <v>402</v>
      </c>
      <c r="C148" s="40">
        <v>28755</v>
      </c>
    </row>
    <row r="149" spans="1:3" x14ac:dyDescent="0.25">
      <c r="A149" s="112">
        <f>"2/24/2018"+COUNTIFS($B$17:B149,B149)</f>
        <v>43158</v>
      </c>
      <c r="B149" s="40" t="s">
        <v>403</v>
      </c>
      <c r="C149" s="40">
        <v>16625</v>
      </c>
    </row>
    <row r="150" spans="1:3" x14ac:dyDescent="0.25">
      <c r="A150" s="112">
        <f>"2/24/2018"+COUNTIFS($B$17:B150,B150)</f>
        <v>43158</v>
      </c>
      <c r="B150" s="40" t="s">
        <v>404</v>
      </c>
      <c r="C150" s="40">
        <v>18350</v>
      </c>
    </row>
    <row r="151" spans="1:3" x14ac:dyDescent="0.25">
      <c r="A151" s="112">
        <f>"2/24/2018"+COUNTIFS($B$17:B151,B151)</f>
        <v>43158</v>
      </c>
      <c r="B151" s="40" t="s">
        <v>405</v>
      </c>
      <c r="C151" s="40">
        <v>16574</v>
      </c>
    </row>
    <row r="152" spans="1:3" x14ac:dyDescent="0.25">
      <c r="A152" s="112">
        <f>"2/24/2018"+COUNTIFS($B$17:B152,B152)</f>
        <v>43158</v>
      </c>
      <c r="B152" s="40" t="s">
        <v>406</v>
      </c>
      <c r="C152" s="40">
        <v>15225</v>
      </c>
    </row>
    <row r="153" spans="1:3" x14ac:dyDescent="0.25">
      <c r="A153" s="112">
        <f>"2/24/2018"+COUNTIFS($B$17:B153,B153)</f>
        <v>43158</v>
      </c>
      <c r="B153" s="40" t="s">
        <v>407</v>
      </c>
      <c r="C153" s="40">
        <v>6280</v>
      </c>
    </row>
    <row r="154" spans="1:3" x14ac:dyDescent="0.25">
      <c r="A154" s="112">
        <f>"2/24/2018"+COUNTIFS($B$17:B154,B154)</f>
        <v>43158</v>
      </c>
      <c r="B154" s="40" t="s">
        <v>408</v>
      </c>
      <c r="C154" s="40">
        <v>17439</v>
      </c>
    </row>
    <row r="155" spans="1:3" x14ac:dyDescent="0.25">
      <c r="A155" s="112">
        <f>"2/24/2018"+COUNTIFS($B$17:B155,B155)</f>
        <v>43158</v>
      </c>
      <c r="B155" s="40" t="s">
        <v>409</v>
      </c>
      <c r="C155" s="40">
        <v>15576</v>
      </c>
    </row>
    <row r="156" spans="1:3" x14ac:dyDescent="0.25">
      <c r="A156" s="112">
        <f>"2/24/2018"+COUNTIFS($B$17:B156,B156)</f>
        <v>43158</v>
      </c>
      <c r="B156" s="40" t="s">
        <v>410</v>
      </c>
      <c r="C156" s="40">
        <v>12163</v>
      </c>
    </row>
    <row r="157" spans="1:3" x14ac:dyDescent="0.25">
      <c r="A157" s="112">
        <f>"2/24/2018"+COUNTIFS($B$17:B157,B157)</f>
        <v>43158</v>
      </c>
      <c r="B157" s="40" t="s">
        <v>411</v>
      </c>
      <c r="C157" s="40">
        <v>18889</v>
      </c>
    </row>
    <row r="158" spans="1:3" x14ac:dyDescent="0.25">
      <c r="A158" s="112">
        <f>"2/24/2018"+COUNTIFS($B$17:B158,B158)</f>
        <v>43158</v>
      </c>
      <c r="B158" s="40" t="s">
        <v>412</v>
      </c>
      <c r="C158" s="40">
        <v>32490</v>
      </c>
    </row>
    <row r="159" spans="1:3" x14ac:dyDescent="0.25">
      <c r="A159" s="112">
        <f>"2/24/2018"+COUNTIFS($B$17:B159,B159)</f>
        <v>43158</v>
      </c>
      <c r="B159" s="40" t="s">
        <v>413</v>
      </c>
      <c r="C159" s="40">
        <v>9730</v>
      </c>
    </row>
    <row r="160" spans="1:3" x14ac:dyDescent="0.25">
      <c r="A160" s="112">
        <f>"2/24/2018"+COUNTIFS($B$17:B160,B160)</f>
        <v>43158</v>
      </c>
      <c r="B160" s="40" t="s">
        <v>414</v>
      </c>
      <c r="C160" s="40">
        <v>13275</v>
      </c>
    </row>
    <row r="161" spans="1:3" x14ac:dyDescent="0.25">
      <c r="A161" s="112">
        <f>"2/24/2018"+COUNTIFS($B$17:B161,B161)</f>
        <v>43158</v>
      </c>
      <c r="B161" s="40" t="s">
        <v>415</v>
      </c>
      <c r="C161" s="40">
        <v>12462</v>
      </c>
    </row>
    <row r="162" spans="1:3" x14ac:dyDescent="0.25">
      <c r="A162" s="112">
        <f>"2/24/2018"+COUNTIFS($B$17:B162,B162)</f>
        <v>43158</v>
      </c>
      <c r="B162" s="40" t="s">
        <v>416</v>
      </c>
      <c r="C162" s="40">
        <v>18933</v>
      </c>
    </row>
    <row r="163" spans="1:3" x14ac:dyDescent="0.25">
      <c r="A163" s="112">
        <f>"2/24/2018"+COUNTIFS($B$17:B163,B163)</f>
        <v>43158</v>
      </c>
      <c r="B163" s="40" t="s">
        <v>417</v>
      </c>
      <c r="C163" s="40">
        <v>15820</v>
      </c>
    </row>
    <row r="164" spans="1:3" x14ac:dyDescent="0.25">
      <c r="A164" s="112">
        <f>"2/24/2018"+COUNTIFS($B$17:B164,B164)</f>
        <v>43158</v>
      </c>
      <c r="B164" s="40" t="s">
        <v>418</v>
      </c>
      <c r="C164" s="40">
        <v>12796</v>
      </c>
    </row>
    <row r="165" spans="1:3" x14ac:dyDescent="0.25">
      <c r="A165" s="112">
        <f>"2/24/2018"+COUNTIFS($B$17:B165,B165)</f>
        <v>43158</v>
      </c>
      <c r="B165" s="40" t="s">
        <v>419</v>
      </c>
      <c r="C165" s="40">
        <v>9578</v>
      </c>
    </row>
    <row r="166" spans="1:3" x14ac:dyDescent="0.25">
      <c r="A166" s="112">
        <f>"2/24/2018"+COUNTIFS($B$17:B166,B166)</f>
        <v>43158</v>
      </c>
      <c r="B166" s="40" t="s">
        <v>420</v>
      </c>
      <c r="C166" s="40">
        <v>27371</v>
      </c>
    </row>
    <row r="167" spans="1:3" x14ac:dyDescent="0.25">
      <c r="A167" s="112">
        <f>"2/24/2018"+COUNTIFS($B$17:B167,B167)</f>
        <v>43159</v>
      </c>
      <c r="B167" s="40" t="s">
        <v>371</v>
      </c>
      <c r="C167" s="40">
        <v>13323</v>
      </c>
    </row>
    <row r="168" spans="1:3" x14ac:dyDescent="0.25">
      <c r="A168" s="112">
        <f>"2/24/2018"+COUNTIFS($B$17:B168,B168)</f>
        <v>43159</v>
      </c>
      <c r="B168" s="40" t="s">
        <v>372</v>
      </c>
      <c r="C168" s="40">
        <v>13032</v>
      </c>
    </row>
    <row r="169" spans="1:3" x14ac:dyDescent="0.25">
      <c r="A169" s="112">
        <f>"2/24/2018"+COUNTIFS($B$17:B169,B169)</f>
        <v>43159</v>
      </c>
      <c r="B169" s="40" t="s">
        <v>373</v>
      </c>
      <c r="C169" s="40">
        <v>15985</v>
      </c>
    </row>
    <row r="170" spans="1:3" x14ac:dyDescent="0.25">
      <c r="A170" s="112">
        <f>"2/24/2018"+COUNTIFS($B$17:B170,B170)</f>
        <v>43159</v>
      </c>
      <c r="B170" s="40" t="s">
        <v>374</v>
      </c>
      <c r="C170" s="40">
        <v>10685</v>
      </c>
    </row>
    <row r="171" spans="1:3" x14ac:dyDescent="0.25">
      <c r="A171" s="112">
        <f>"2/24/2018"+COUNTIFS($B$17:B171,B171)</f>
        <v>43159</v>
      </c>
      <c r="B171" s="40" t="s">
        <v>375</v>
      </c>
      <c r="C171" s="40">
        <v>14703</v>
      </c>
    </row>
    <row r="172" spans="1:3" x14ac:dyDescent="0.25">
      <c r="A172" s="112">
        <f>"2/24/2018"+COUNTIFS($B$17:B172,B172)</f>
        <v>43159</v>
      </c>
      <c r="B172" s="40" t="s">
        <v>376</v>
      </c>
      <c r="C172" s="40">
        <v>18502</v>
      </c>
    </row>
    <row r="173" spans="1:3" x14ac:dyDescent="0.25">
      <c r="A173" s="112">
        <f>"2/24/2018"+COUNTIFS($B$17:B173,B173)</f>
        <v>43159</v>
      </c>
      <c r="B173" s="40" t="s">
        <v>377</v>
      </c>
      <c r="C173" s="40">
        <v>12413</v>
      </c>
    </row>
    <row r="174" spans="1:3" x14ac:dyDescent="0.25">
      <c r="A174" s="112">
        <f>"2/24/2018"+COUNTIFS($B$17:B174,B174)</f>
        <v>43159</v>
      </c>
      <c r="B174" s="40" t="s">
        <v>378</v>
      </c>
      <c r="C174" s="40">
        <v>18081</v>
      </c>
    </row>
    <row r="175" spans="1:3" x14ac:dyDescent="0.25">
      <c r="A175" s="112">
        <f>"2/24/2018"+COUNTIFS($B$17:B175,B175)</f>
        <v>43159</v>
      </c>
      <c r="B175" s="40" t="s">
        <v>379</v>
      </c>
      <c r="C175" s="40">
        <v>4726</v>
      </c>
    </row>
    <row r="176" spans="1:3" x14ac:dyDescent="0.25">
      <c r="A176" s="112">
        <f>"2/24/2018"+COUNTIFS($B$17:B176,B176)</f>
        <v>43159</v>
      </c>
      <c r="B176" s="40" t="s">
        <v>380</v>
      </c>
      <c r="C176" s="40">
        <v>14662</v>
      </c>
    </row>
    <row r="177" spans="1:3" x14ac:dyDescent="0.25">
      <c r="A177" s="112">
        <f>"2/24/2018"+COUNTIFS($B$17:B177,B177)</f>
        <v>43159</v>
      </c>
      <c r="B177" s="40" t="s">
        <v>381</v>
      </c>
      <c r="C177" s="40">
        <v>19721</v>
      </c>
    </row>
    <row r="178" spans="1:3" x14ac:dyDescent="0.25">
      <c r="A178" s="112">
        <f>"2/24/2018"+COUNTIFS($B$17:B178,B178)</f>
        <v>43159</v>
      </c>
      <c r="B178" s="40" t="s">
        <v>382</v>
      </c>
      <c r="C178" s="40">
        <v>19838</v>
      </c>
    </row>
    <row r="179" spans="1:3" x14ac:dyDescent="0.25">
      <c r="A179" s="112">
        <f>"2/24/2018"+COUNTIFS($B$17:B179,B179)</f>
        <v>43159</v>
      </c>
      <c r="B179" s="40" t="s">
        <v>383</v>
      </c>
      <c r="C179" s="40">
        <v>18428</v>
      </c>
    </row>
    <row r="180" spans="1:3" x14ac:dyDescent="0.25">
      <c r="A180" s="112">
        <f>"2/24/2018"+COUNTIFS($B$17:B180,B180)</f>
        <v>43159</v>
      </c>
      <c r="B180" s="40" t="s">
        <v>384</v>
      </c>
      <c r="C180" s="40">
        <v>10863</v>
      </c>
    </row>
    <row r="181" spans="1:3" x14ac:dyDescent="0.25">
      <c r="A181" s="112">
        <f>"2/24/2018"+COUNTIFS($B$17:B181,B181)</f>
        <v>43159</v>
      </c>
      <c r="B181" s="40" t="s">
        <v>385</v>
      </c>
      <c r="C181" s="40">
        <v>17614</v>
      </c>
    </row>
    <row r="182" spans="1:3" x14ac:dyDescent="0.25">
      <c r="A182" s="112">
        <f>"2/24/2018"+COUNTIFS($B$17:B182,B182)</f>
        <v>43159</v>
      </c>
      <c r="B182" s="40" t="s">
        <v>386</v>
      </c>
      <c r="C182" s="40">
        <v>16596</v>
      </c>
    </row>
    <row r="183" spans="1:3" x14ac:dyDescent="0.25">
      <c r="A183" s="112">
        <f>"2/24/2018"+COUNTIFS($B$17:B183,B183)</f>
        <v>43159</v>
      </c>
      <c r="B183" s="40" t="s">
        <v>387</v>
      </c>
      <c r="C183" s="40">
        <v>11254</v>
      </c>
    </row>
    <row r="184" spans="1:3" x14ac:dyDescent="0.25">
      <c r="A184" s="112">
        <f>"2/24/2018"+COUNTIFS($B$17:B184,B184)</f>
        <v>43159</v>
      </c>
      <c r="B184" s="40" t="s">
        <v>388</v>
      </c>
      <c r="C184" s="40">
        <v>6253</v>
      </c>
    </row>
    <row r="185" spans="1:3" x14ac:dyDescent="0.25">
      <c r="A185" s="112">
        <f>"2/24/2018"+COUNTIFS($B$17:B185,B185)</f>
        <v>43159</v>
      </c>
      <c r="B185" s="40" t="s">
        <v>389</v>
      </c>
      <c r="C185" s="40">
        <v>19643</v>
      </c>
    </row>
    <row r="186" spans="1:3" x14ac:dyDescent="0.25">
      <c r="A186" s="112">
        <f>"2/24/2018"+COUNTIFS($B$17:B186,B186)</f>
        <v>43159</v>
      </c>
      <c r="B186" s="40" t="s">
        <v>390</v>
      </c>
      <c r="C186" s="40">
        <v>10486</v>
      </c>
    </row>
    <row r="187" spans="1:3" x14ac:dyDescent="0.25">
      <c r="A187" s="112">
        <f>"2/24/2018"+COUNTIFS($B$17:B187,B187)</f>
        <v>43159</v>
      </c>
      <c r="B187" s="40" t="s">
        <v>391</v>
      </c>
      <c r="C187" s="40">
        <v>13989</v>
      </c>
    </row>
    <row r="188" spans="1:3" x14ac:dyDescent="0.25">
      <c r="A188" s="112">
        <f>"2/24/2018"+COUNTIFS($B$17:B188,B188)</f>
        <v>43159</v>
      </c>
      <c r="B188" s="40" t="s">
        <v>392</v>
      </c>
      <c r="C188" s="40">
        <v>18139</v>
      </c>
    </row>
    <row r="189" spans="1:3" x14ac:dyDescent="0.25">
      <c r="A189" s="112">
        <f>"2/24/2018"+COUNTIFS($B$17:B189,B189)</f>
        <v>43159</v>
      </c>
      <c r="B189" s="40" t="s">
        <v>393</v>
      </c>
      <c r="C189" s="40">
        <v>11049</v>
      </c>
    </row>
    <row r="190" spans="1:3" x14ac:dyDescent="0.25">
      <c r="A190" s="112">
        <f>"2/24/2018"+COUNTIFS($B$17:B190,B190)</f>
        <v>43159</v>
      </c>
      <c r="B190" s="40" t="s">
        <v>394</v>
      </c>
      <c r="C190" s="40">
        <v>19436</v>
      </c>
    </row>
    <row r="191" spans="1:3" x14ac:dyDescent="0.25">
      <c r="A191" s="112">
        <f>"2/24/2018"+COUNTIFS($B$17:B191,B191)</f>
        <v>43159</v>
      </c>
      <c r="B191" s="40" t="s">
        <v>395</v>
      </c>
      <c r="C191" s="40">
        <v>9943</v>
      </c>
    </row>
    <row r="192" spans="1:3" x14ac:dyDescent="0.25">
      <c r="A192" s="112">
        <f>"2/24/2018"+COUNTIFS($B$17:B192,B192)</f>
        <v>43159</v>
      </c>
      <c r="B192" s="40" t="s">
        <v>396</v>
      </c>
      <c r="C192" s="40">
        <v>14550</v>
      </c>
    </row>
    <row r="193" spans="1:3" x14ac:dyDescent="0.25">
      <c r="A193" s="112">
        <f>"2/24/2018"+COUNTIFS($B$17:B193,B193)</f>
        <v>43159</v>
      </c>
      <c r="B193" s="40" t="s">
        <v>397</v>
      </c>
      <c r="C193" s="40">
        <v>17170</v>
      </c>
    </row>
    <row r="194" spans="1:3" x14ac:dyDescent="0.25">
      <c r="A194" s="112">
        <f>"2/24/2018"+COUNTIFS($B$17:B194,B194)</f>
        <v>43159</v>
      </c>
      <c r="B194" s="40" t="s">
        <v>398</v>
      </c>
      <c r="C194" s="40">
        <v>12735</v>
      </c>
    </row>
    <row r="195" spans="1:3" x14ac:dyDescent="0.25">
      <c r="A195" s="112">
        <f>"2/24/2018"+COUNTIFS($B$17:B195,B195)</f>
        <v>43159</v>
      </c>
      <c r="B195" s="40" t="s">
        <v>399</v>
      </c>
      <c r="C195" s="40">
        <v>10416</v>
      </c>
    </row>
    <row r="196" spans="1:3" x14ac:dyDescent="0.25">
      <c r="A196" s="112">
        <f>"2/24/2018"+COUNTIFS($B$17:B196,B196)</f>
        <v>43159</v>
      </c>
      <c r="B196" s="40" t="s">
        <v>400</v>
      </c>
      <c r="C196" s="40">
        <v>14563</v>
      </c>
    </row>
    <row r="197" spans="1:3" x14ac:dyDescent="0.25">
      <c r="A197" s="112">
        <f>"2/24/2018"+COUNTIFS($B$17:B197,B197)</f>
        <v>43159</v>
      </c>
      <c r="B197" s="40" t="s">
        <v>401</v>
      </c>
      <c r="C197" s="40">
        <v>8319</v>
      </c>
    </row>
    <row r="198" spans="1:3" x14ac:dyDescent="0.25">
      <c r="A198" s="112">
        <f>"2/24/2018"+COUNTIFS($B$17:B198,B198)</f>
        <v>43159</v>
      </c>
      <c r="B198" s="40" t="s">
        <v>402</v>
      </c>
      <c r="C198" s="40">
        <v>9787</v>
      </c>
    </row>
    <row r="199" spans="1:3" x14ac:dyDescent="0.25">
      <c r="A199" s="112">
        <f>"2/24/2018"+COUNTIFS($B$17:B199,B199)</f>
        <v>43159</v>
      </c>
      <c r="B199" s="40" t="s">
        <v>403</v>
      </c>
      <c r="C199" s="40">
        <v>14367</v>
      </c>
    </row>
    <row r="200" spans="1:3" x14ac:dyDescent="0.25">
      <c r="A200" s="112">
        <f>"2/24/2018"+COUNTIFS($B$17:B200,B200)</f>
        <v>43159</v>
      </c>
      <c r="B200" s="40" t="s">
        <v>404</v>
      </c>
      <c r="C200" s="40">
        <v>14225</v>
      </c>
    </row>
    <row r="201" spans="1:3" x14ac:dyDescent="0.25">
      <c r="A201" s="112">
        <f>"2/24/2018"+COUNTIFS($B$17:B201,B201)</f>
        <v>43159</v>
      </c>
      <c r="B201" s="40" t="s">
        <v>405</v>
      </c>
      <c r="C201" s="40">
        <v>15692</v>
      </c>
    </row>
    <row r="202" spans="1:3" x14ac:dyDescent="0.25">
      <c r="A202" s="112">
        <f>"2/24/2018"+COUNTIFS($B$17:B202,B202)</f>
        <v>43159</v>
      </c>
      <c r="B202" s="40" t="s">
        <v>406</v>
      </c>
      <c r="C202" s="40">
        <v>9776</v>
      </c>
    </row>
    <row r="203" spans="1:3" x14ac:dyDescent="0.25">
      <c r="A203" s="112">
        <f>"2/24/2018"+COUNTIFS($B$17:B203,B203)</f>
        <v>43159</v>
      </c>
      <c r="B203" s="40" t="s">
        <v>407</v>
      </c>
      <c r="C203" s="40">
        <v>13843</v>
      </c>
    </row>
    <row r="204" spans="1:3" x14ac:dyDescent="0.25">
      <c r="A204" s="112">
        <f>"2/24/2018"+COUNTIFS($B$17:B204,B204)</f>
        <v>43159</v>
      </c>
      <c r="B204" s="40" t="s">
        <v>408</v>
      </c>
      <c r="C204" s="40">
        <v>12941</v>
      </c>
    </row>
    <row r="205" spans="1:3" x14ac:dyDescent="0.25">
      <c r="A205" s="112">
        <f>"2/24/2018"+COUNTIFS($B$17:B205,B205)</f>
        <v>43159</v>
      </c>
      <c r="B205" s="40" t="s">
        <v>409</v>
      </c>
      <c r="C205" s="40">
        <v>18450</v>
      </c>
    </row>
    <row r="206" spans="1:3" x14ac:dyDescent="0.25">
      <c r="A206" s="112">
        <f>"2/24/2018"+COUNTIFS($B$17:B206,B206)</f>
        <v>43159</v>
      </c>
      <c r="B206" s="40" t="s">
        <v>410</v>
      </c>
      <c r="C206" s="40">
        <v>10593</v>
      </c>
    </row>
    <row r="207" spans="1:3" x14ac:dyDescent="0.25">
      <c r="A207" s="112">
        <f>"2/24/2018"+COUNTIFS($B$17:B207,B207)</f>
        <v>43159</v>
      </c>
      <c r="B207" s="40" t="s">
        <v>411</v>
      </c>
      <c r="C207" s="40">
        <v>15116</v>
      </c>
    </row>
    <row r="208" spans="1:3" x14ac:dyDescent="0.25">
      <c r="A208" s="112">
        <f>"2/24/2018"+COUNTIFS($B$17:B208,B208)</f>
        <v>43159</v>
      </c>
      <c r="B208" s="40" t="s">
        <v>412</v>
      </c>
      <c r="C208" s="40">
        <v>11361</v>
      </c>
    </row>
    <row r="209" spans="1:3" x14ac:dyDescent="0.25">
      <c r="A209" s="112">
        <f>"2/24/2018"+COUNTIFS($B$17:B209,B209)</f>
        <v>43159</v>
      </c>
      <c r="B209" s="40" t="s">
        <v>413</v>
      </c>
      <c r="C209" s="40">
        <v>13274</v>
      </c>
    </row>
    <row r="210" spans="1:3" x14ac:dyDescent="0.25">
      <c r="A210" s="112">
        <f>"2/24/2018"+COUNTIFS($B$17:B210,B210)</f>
        <v>43159</v>
      </c>
      <c r="B210" s="40" t="s">
        <v>414</v>
      </c>
      <c r="C210" s="40">
        <v>6165</v>
      </c>
    </row>
    <row r="211" spans="1:3" x14ac:dyDescent="0.25">
      <c r="A211" s="112">
        <f>"2/24/2018"+COUNTIFS($B$17:B211,B211)</f>
        <v>43159</v>
      </c>
      <c r="B211" s="40" t="s">
        <v>415</v>
      </c>
      <c r="C211" s="40">
        <v>12790</v>
      </c>
    </row>
    <row r="212" spans="1:3" x14ac:dyDescent="0.25">
      <c r="A212" s="112">
        <f>"2/24/2018"+COUNTIFS($B$17:B212,B212)</f>
        <v>43159</v>
      </c>
      <c r="B212" s="40" t="s">
        <v>416</v>
      </c>
      <c r="C212" s="40">
        <v>18983</v>
      </c>
    </row>
    <row r="213" spans="1:3" x14ac:dyDescent="0.25">
      <c r="A213" s="112">
        <f>"2/24/2018"+COUNTIFS($B$17:B213,B213)</f>
        <v>43159</v>
      </c>
      <c r="B213" s="40" t="s">
        <v>417</v>
      </c>
      <c r="C213" s="40">
        <v>15587</v>
      </c>
    </row>
    <row r="214" spans="1:3" x14ac:dyDescent="0.25">
      <c r="A214" s="112">
        <f>"2/24/2018"+COUNTIFS($B$17:B214,B214)</f>
        <v>43159</v>
      </c>
      <c r="B214" s="40" t="s">
        <v>418</v>
      </c>
      <c r="C214" s="40">
        <v>18151</v>
      </c>
    </row>
    <row r="215" spans="1:3" x14ac:dyDescent="0.25">
      <c r="A215" s="112">
        <f>"2/24/2018"+COUNTIFS($B$17:B215,B215)</f>
        <v>43159</v>
      </c>
      <c r="B215" s="40" t="s">
        <v>419</v>
      </c>
      <c r="C215" s="40">
        <v>11697</v>
      </c>
    </row>
    <row r="216" spans="1:3" x14ac:dyDescent="0.25">
      <c r="A216" s="112">
        <f>"2/24/2018"+COUNTIFS($B$17:B216,B216)</f>
        <v>43159</v>
      </c>
      <c r="B216" s="40" t="s">
        <v>420</v>
      </c>
      <c r="C216" s="40">
        <v>13993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628A4-463F-4BFC-A3E2-DD98C51A921A}">
  <sheetPr>
    <tabColor rgb="FFFF0000"/>
  </sheetPr>
  <dimension ref="A1:AE216"/>
  <sheetViews>
    <sheetView workbookViewId="0">
      <selection activeCell="A5" sqref="A5"/>
    </sheetView>
  </sheetViews>
  <sheetFormatPr defaultRowHeight="15" x14ac:dyDescent="0.25"/>
  <cols>
    <col min="1" max="1" width="22.42578125" customWidth="1"/>
    <col min="2" max="2" width="21.140625" bestFit="1" customWidth="1"/>
    <col min="3" max="3" width="10.85546875" bestFit="1" customWidth="1"/>
    <col min="4" max="4" width="40" bestFit="1" customWidth="1"/>
    <col min="5" max="5" width="34.140625" bestFit="1" customWidth="1"/>
    <col min="6" max="6" width="22.42578125" customWidth="1"/>
    <col min="7" max="8" width="10.85546875" bestFit="1" customWidth="1"/>
    <col min="9" max="9" width="16.42578125" bestFit="1" customWidth="1"/>
    <col min="10" max="10" width="13.5703125" bestFit="1" customWidth="1"/>
    <col min="11" max="11" width="14.42578125" bestFit="1" customWidth="1"/>
    <col min="12" max="12" width="15.42578125" customWidth="1"/>
    <col min="13" max="13" width="11" bestFit="1" customWidth="1"/>
    <col min="14" max="14" width="10.85546875" bestFit="1" customWidth="1"/>
    <col min="15" max="28" width="10.85546875" customWidth="1"/>
    <col min="30" max="30" width="9.7109375" bestFit="1" customWidth="1"/>
  </cols>
  <sheetData>
    <row r="1" spans="1:31" x14ac:dyDescent="0.25">
      <c r="A1" s="48" t="s">
        <v>425</v>
      </c>
      <c r="B1" s="42"/>
      <c r="C1" s="42"/>
      <c r="D1" s="42"/>
      <c r="E1" s="42"/>
      <c r="F1" s="42"/>
      <c r="G1" s="42"/>
      <c r="H1" s="43"/>
      <c r="AD1" t="s">
        <v>423</v>
      </c>
      <c r="AE1" t="s">
        <v>422</v>
      </c>
    </row>
    <row r="2" spans="1:31" x14ac:dyDescent="0.25">
      <c r="A2" s="62" t="s">
        <v>426</v>
      </c>
      <c r="B2" s="44"/>
      <c r="C2" s="44"/>
      <c r="D2" s="44"/>
      <c r="E2" s="44"/>
      <c r="F2" s="44"/>
      <c r="G2" s="44"/>
      <c r="H2" s="45"/>
      <c r="AD2" s="152">
        <f ca="1">"2/24/2018"+COUNTIFS(AE$2:AE2,AE2)</f>
        <v>43156</v>
      </c>
      <c r="AE2">
        <f ca="1">CHOOSE(RANDBETWEEN(1,3),RANDBETWEEN(15000,20000),ABS(INT(_xlfn.NORM.INV(RAND(),12500,2500))),RANDBETWEEN(2500,34000))</f>
        <v>16491</v>
      </c>
    </row>
    <row r="3" spans="1:31" x14ac:dyDescent="0.25">
      <c r="A3" s="62" t="s">
        <v>427</v>
      </c>
      <c r="B3" s="44"/>
      <c r="C3" s="44"/>
      <c r="D3" s="44"/>
      <c r="E3" s="44"/>
      <c r="F3" s="44"/>
      <c r="G3" s="44"/>
      <c r="H3" s="45"/>
    </row>
    <row r="4" spans="1:31" x14ac:dyDescent="0.25">
      <c r="A4" s="49"/>
      <c r="B4" s="46"/>
      <c r="C4" s="46"/>
      <c r="D4" s="46"/>
      <c r="E4" s="46"/>
      <c r="F4" s="46"/>
      <c r="G4" s="46"/>
      <c r="H4" s="47"/>
    </row>
    <row r="6" spans="1:31" x14ac:dyDescent="0.25">
      <c r="F6" s="81" t="s">
        <v>327</v>
      </c>
      <c r="G6" s="79">
        <v>1</v>
      </c>
      <c r="H6" s="79">
        <v>2</v>
      </c>
      <c r="I6" s="79">
        <v>3</v>
      </c>
      <c r="J6" s="79">
        <v>4</v>
      </c>
      <c r="K6" s="79">
        <v>5</v>
      </c>
    </row>
    <row r="7" spans="1:31" ht="60" x14ac:dyDescent="0.25">
      <c r="A7" s="132" t="s">
        <v>102</v>
      </c>
      <c r="B7" s="132" t="s">
        <v>293</v>
      </c>
      <c r="C7" s="132" t="s">
        <v>294</v>
      </c>
      <c r="D7" s="133" t="s">
        <v>234</v>
      </c>
      <c r="F7" s="132" t="str">
        <f t="shared" ref="F7:I12" si="0">A7</f>
        <v>Category</v>
      </c>
      <c r="G7" s="132" t="str">
        <f t="shared" si="0"/>
        <v>Lower</v>
      </c>
      <c r="H7" s="132" t="str">
        <f t="shared" si="0"/>
        <v>Upper</v>
      </c>
      <c r="I7" s="133" t="str">
        <f t="shared" si="0"/>
        <v>Commission Rate</v>
      </c>
      <c r="J7" s="133" t="s">
        <v>367</v>
      </c>
      <c r="K7" s="133" t="s">
        <v>368</v>
      </c>
      <c r="M7" s="66" t="s">
        <v>300</v>
      </c>
      <c r="N7" s="66">
        <v>14500</v>
      </c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</row>
    <row r="8" spans="1:31" x14ac:dyDescent="0.25">
      <c r="A8" s="66" t="str">
        <f t="shared" ref="A8:A13" si="1">DOLLAR(B8)&amp;IF(ISTEXT(C8)," "&amp;C8," to "&amp;DOLLAR(C8))</f>
        <v>$0.00 to $5,000.00</v>
      </c>
      <c r="B8" s="66">
        <v>0</v>
      </c>
      <c r="C8" s="66">
        <v>5000</v>
      </c>
      <c r="D8" s="150">
        <v>0.01</v>
      </c>
      <c r="F8" s="66" t="str">
        <f t="shared" si="0"/>
        <v>$0.00 to $5,000.00</v>
      </c>
      <c r="G8" s="66">
        <f t="shared" si="0"/>
        <v>0</v>
      </c>
      <c r="H8" s="66">
        <f t="shared" si="0"/>
        <v>5000</v>
      </c>
      <c r="I8" s="95">
        <f t="shared" si="0"/>
        <v>0.01</v>
      </c>
      <c r="J8" s="40"/>
      <c r="K8" s="40"/>
      <c r="M8" s="40" t="s">
        <v>369</v>
      </c>
      <c r="N8" s="67">
        <f>K11+(N7-J11)*I11</f>
        <v>350</v>
      </c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</row>
    <row r="9" spans="1:31" x14ac:dyDescent="0.25">
      <c r="A9" s="66" t="str">
        <f t="shared" si="1"/>
        <v>$5,000.01 to $7,000.00</v>
      </c>
      <c r="B9" s="66">
        <f>C8+0.01</f>
        <v>5000.01</v>
      </c>
      <c r="C9" s="66">
        <v>7000</v>
      </c>
      <c r="D9" s="150">
        <v>1.4999999999999999E-2</v>
      </c>
      <c r="F9" s="66" t="str">
        <f t="shared" si="0"/>
        <v>$5,000.01 to $7,000.00</v>
      </c>
      <c r="G9" s="66">
        <f t="shared" si="0"/>
        <v>5000.01</v>
      </c>
      <c r="H9" s="66">
        <f t="shared" si="0"/>
        <v>7000</v>
      </c>
      <c r="I9" s="95">
        <f t="shared" si="0"/>
        <v>1.4999999999999999E-2</v>
      </c>
      <c r="J9" s="67">
        <f>H8</f>
        <v>5000</v>
      </c>
      <c r="K9" s="67">
        <f>ROUND((J9-J8)*I8,2)+K8</f>
        <v>50</v>
      </c>
    </row>
    <row r="10" spans="1:31" x14ac:dyDescent="0.25">
      <c r="A10" s="66" t="str">
        <f t="shared" si="1"/>
        <v>$7,000.01 to $9,000.00</v>
      </c>
      <c r="B10" s="66">
        <f t="shared" ref="B10:B13" si="2">C9+0.01</f>
        <v>7000.01</v>
      </c>
      <c r="C10" s="66">
        <v>9000</v>
      </c>
      <c r="D10" s="150">
        <v>2.5000000000000001E-2</v>
      </c>
      <c r="F10" s="66" t="str">
        <f t="shared" si="0"/>
        <v>$7,000.01 to $9,000.00</v>
      </c>
      <c r="G10" s="66">
        <f t="shared" si="0"/>
        <v>7000.01</v>
      </c>
      <c r="H10" s="66">
        <f t="shared" si="0"/>
        <v>9000</v>
      </c>
      <c r="I10" s="95">
        <f t="shared" si="0"/>
        <v>2.5000000000000001E-2</v>
      </c>
      <c r="J10" s="67">
        <f t="shared" ref="J10:J13" si="3">H9</f>
        <v>7000</v>
      </c>
      <c r="K10" s="67">
        <f>ROUND((J10-J9)*I9,2)+K9</f>
        <v>80</v>
      </c>
    </row>
    <row r="11" spans="1:31" x14ac:dyDescent="0.25">
      <c r="A11" s="66" t="str">
        <f t="shared" si="1"/>
        <v>$9,000.01 to $15,000.00</v>
      </c>
      <c r="B11" s="66">
        <f t="shared" si="2"/>
        <v>9000.01</v>
      </c>
      <c r="C11" s="66">
        <v>15000</v>
      </c>
      <c r="D11" s="150">
        <v>0.04</v>
      </c>
      <c r="F11" s="66" t="str">
        <f t="shared" si="0"/>
        <v>$9,000.01 to $15,000.00</v>
      </c>
      <c r="G11" s="66">
        <f t="shared" si="0"/>
        <v>9000.01</v>
      </c>
      <c r="H11" s="66">
        <f t="shared" si="0"/>
        <v>15000</v>
      </c>
      <c r="I11" s="95">
        <f t="shared" si="0"/>
        <v>0.04</v>
      </c>
      <c r="J11" s="67">
        <f t="shared" si="3"/>
        <v>9000</v>
      </c>
      <c r="K11" s="67">
        <f>ROUND((J11-J10)*I10,2)+K10</f>
        <v>130</v>
      </c>
    </row>
    <row r="12" spans="1:31" x14ac:dyDescent="0.25">
      <c r="A12" s="66" t="str">
        <f t="shared" si="1"/>
        <v>$15,000.01 to $25,000.00</v>
      </c>
      <c r="B12" s="66">
        <f t="shared" si="2"/>
        <v>15000.01</v>
      </c>
      <c r="C12" s="66">
        <v>25000</v>
      </c>
      <c r="D12" s="150">
        <v>0.05</v>
      </c>
      <c r="F12" s="66" t="str">
        <f t="shared" si="0"/>
        <v>$15,000.01 to $25,000.00</v>
      </c>
      <c r="G12" s="66">
        <f t="shared" si="0"/>
        <v>15000.01</v>
      </c>
      <c r="H12" s="66">
        <f t="shared" si="0"/>
        <v>25000</v>
      </c>
      <c r="I12" s="95">
        <f t="shared" si="0"/>
        <v>0.05</v>
      </c>
      <c r="J12" s="67">
        <f t="shared" si="3"/>
        <v>15000</v>
      </c>
      <c r="K12" s="67">
        <f>ROUND((J12-J11)*I11,2)+K11</f>
        <v>370</v>
      </c>
    </row>
    <row r="13" spans="1:31" x14ac:dyDescent="0.25">
      <c r="A13" s="66" t="str">
        <f t="shared" si="1"/>
        <v>$25,000.01 or more</v>
      </c>
      <c r="B13" s="66">
        <f t="shared" si="2"/>
        <v>25000.01</v>
      </c>
      <c r="C13" s="66" t="s">
        <v>318</v>
      </c>
      <c r="D13" s="150">
        <v>7.4999999999999997E-2</v>
      </c>
      <c r="F13" s="66" t="str">
        <f>A13</f>
        <v>$25,000.01 or more</v>
      </c>
      <c r="G13" s="66">
        <f>B13</f>
        <v>25000.01</v>
      </c>
      <c r="H13" s="66"/>
      <c r="I13" s="95">
        <f>D13</f>
        <v>7.4999999999999997E-2</v>
      </c>
      <c r="J13" s="67">
        <f t="shared" si="3"/>
        <v>25000</v>
      </c>
      <c r="K13" s="67">
        <f>ROUND((J13-J12)*I12,2)+K12</f>
        <v>870</v>
      </c>
    </row>
    <row r="14" spans="1:31" x14ac:dyDescent="0.25">
      <c r="F14" s="135"/>
    </row>
    <row r="15" spans="1:31" x14ac:dyDescent="0.25">
      <c r="D15" s="155">
        <v>5</v>
      </c>
      <c r="E15">
        <v>4</v>
      </c>
      <c r="F15">
        <v>3</v>
      </c>
    </row>
    <row r="16" spans="1:31" x14ac:dyDescent="0.25">
      <c r="A16" s="140" t="s">
        <v>227</v>
      </c>
      <c r="B16" s="151" t="s">
        <v>370</v>
      </c>
      <c r="C16" s="140" t="s">
        <v>421</v>
      </c>
      <c r="D16" s="140" t="str">
        <f>K7</f>
        <v>Total Commisson Up Through Last Category</v>
      </c>
      <c r="E16" s="140" t="str">
        <f>J7</f>
        <v>Total Sales Up Through Last Category</v>
      </c>
      <c r="F16" s="140" t="str">
        <f>I7</f>
        <v>Commission Rate</v>
      </c>
      <c r="G16" s="140" t="s">
        <v>110</v>
      </c>
      <c r="I16" t="s">
        <v>292</v>
      </c>
      <c r="J16" t="s">
        <v>292</v>
      </c>
      <c r="L16" t="s">
        <v>424</v>
      </c>
    </row>
    <row r="17" spans="1:12" x14ac:dyDescent="0.25">
      <c r="A17" s="112">
        <f>"2/24/2018"+COUNTIFS($B$17:B17,B17)</f>
        <v>43156</v>
      </c>
      <c r="B17" s="40" t="s">
        <v>371</v>
      </c>
      <c r="C17" s="40">
        <v>15441</v>
      </c>
      <c r="D17" s="57">
        <f>VLOOKUP($C17,$G$8:$K$13,D$15)</f>
        <v>370</v>
      </c>
      <c r="E17" s="57">
        <f t="shared" ref="E17:F32" si="4">VLOOKUP($C17,$G$8:$K$13,E$15)</f>
        <v>15000</v>
      </c>
      <c r="F17" s="60">
        <f t="shared" si="4"/>
        <v>0.05</v>
      </c>
      <c r="G17" s="57">
        <f>D17+(C17-E17)*F17</f>
        <v>392.05</v>
      </c>
      <c r="I17">
        <f>VLOOKUP(C17,$G$8:$K$13,5)+(C17-VLOOKUP(C17,$G$8:$K$13,4))*VLOOKUP(C17,$G$8:$K$13,3)</f>
        <v>392.05</v>
      </c>
      <c r="J17" t="b">
        <f>I17=G17</f>
        <v>1</v>
      </c>
      <c r="L17">
        <f>COUNTIFS(J17:J216,FALSE)</f>
        <v>0</v>
      </c>
    </row>
    <row r="18" spans="1:12" x14ac:dyDescent="0.25">
      <c r="A18" s="112">
        <f>"2/24/2018"+COUNTIFS($B$17:B18,B18)</f>
        <v>43156</v>
      </c>
      <c r="B18" s="40" t="s">
        <v>372</v>
      </c>
      <c r="C18" s="40">
        <v>19925</v>
      </c>
      <c r="D18" s="57">
        <f t="shared" ref="D18:F49" si="5">VLOOKUP($C18,$G$8:$K$13,D$15)</f>
        <v>370</v>
      </c>
      <c r="E18" s="57">
        <f t="shared" si="4"/>
        <v>15000</v>
      </c>
      <c r="F18" s="60">
        <f t="shared" si="4"/>
        <v>0.05</v>
      </c>
      <c r="G18" s="57">
        <f t="shared" ref="G18:G81" si="6">D18+(C18-E18)*F18</f>
        <v>616.25</v>
      </c>
      <c r="I18">
        <f t="shared" ref="I18:I81" si="7">VLOOKUP(C18,$G$8:$K$13,5)+(C18-VLOOKUP(C18,$G$8:$K$13,4))*VLOOKUP(C18,$G$8:$K$13,3)</f>
        <v>616.25</v>
      </c>
      <c r="J18" t="b">
        <f t="shared" ref="J18:J81" si="8">I18=G18</f>
        <v>1</v>
      </c>
    </row>
    <row r="19" spans="1:12" x14ac:dyDescent="0.25">
      <c r="A19" s="112">
        <f>"2/24/2018"+COUNTIFS($B$17:B19,B19)</f>
        <v>43156</v>
      </c>
      <c r="B19" s="40" t="s">
        <v>373</v>
      </c>
      <c r="C19" s="40">
        <v>13300</v>
      </c>
      <c r="D19" s="57">
        <f t="shared" si="5"/>
        <v>130</v>
      </c>
      <c r="E19" s="57">
        <f t="shared" si="4"/>
        <v>9000</v>
      </c>
      <c r="F19" s="60">
        <f t="shared" si="4"/>
        <v>0.04</v>
      </c>
      <c r="G19" s="57">
        <f t="shared" si="6"/>
        <v>302</v>
      </c>
      <c r="I19">
        <f t="shared" si="7"/>
        <v>302</v>
      </c>
      <c r="J19" t="b">
        <f t="shared" si="8"/>
        <v>1</v>
      </c>
    </row>
    <row r="20" spans="1:12" x14ac:dyDescent="0.25">
      <c r="A20" s="112">
        <f>"2/24/2018"+COUNTIFS($B$17:B20,B20)</f>
        <v>43156</v>
      </c>
      <c r="B20" s="40" t="s">
        <v>374</v>
      </c>
      <c r="C20" s="40">
        <v>18386</v>
      </c>
      <c r="D20" s="57">
        <f t="shared" si="5"/>
        <v>370</v>
      </c>
      <c r="E20" s="57">
        <f t="shared" si="4"/>
        <v>15000</v>
      </c>
      <c r="F20" s="60">
        <f t="shared" si="4"/>
        <v>0.05</v>
      </c>
      <c r="G20" s="57">
        <f t="shared" si="6"/>
        <v>539.29999999999995</v>
      </c>
      <c r="I20">
        <f t="shared" si="7"/>
        <v>539.29999999999995</v>
      </c>
      <c r="J20" t="b">
        <f t="shared" si="8"/>
        <v>1</v>
      </c>
    </row>
    <row r="21" spans="1:12" x14ac:dyDescent="0.25">
      <c r="A21" s="112">
        <f>"2/24/2018"+COUNTIFS($B$17:B21,B21)</f>
        <v>43156</v>
      </c>
      <c r="B21" s="40" t="s">
        <v>375</v>
      </c>
      <c r="C21" s="40">
        <v>7859</v>
      </c>
      <c r="D21" s="57">
        <f t="shared" si="5"/>
        <v>80</v>
      </c>
      <c r="E21" s="57">
        <f t="shared" si="4"/>
        <v>7000</v>
      </c>
      <c r="F21" s="60">
        <f t="shared" si="4"/>
        <v>2.5000000000000001E-2</v>
      </c>
      <c r="G21" s="57">
        <f t="shared" si="6"/>
        <v>101.47499999999999</v>
      </c>
      <c r="I21">
        <f t="shared" si="7"/>
        <v>101.47499999999999</v>
      </c>
      <c r="J21" t="b">
        <f t="shared" si="8"/>
        <v>1</v>
      </c>
    </row>
    <row r="22" spans="1:12" x14ac:dyDescent="0.25">
      <c r="A22" s="112">
        <f>"2/24/2018"+COUNTIFS($B$17:B22,B22)</f>
        <v>43156</v>
      </c>
      <c r="B22" s="40" t="s">
        <v>376</v>
      </c>
      <c r="C22" s="40">
        <v>19546</v>
      </c>
      <c r="D22" s="57">
        <f t="shared" si="5"/>
        <v>370</v>
      </c>
      <c r="E22" s="57">
        <f t="shared" si="4"/>
        <v>15000</v>
      </c>
      <c r="F22" s="60">
        <f t="shared" si="4"/>
        <v>0.05</v>
      </c>
      <c r="G22" s="57">
        <f t="shared" si="6"/>
        <v>597.29999999999995</v>
      </c>
      <c r="I22">
        <f t="shared" si="7"/>
        <v>597.29999999999995</v>
      </c>
      <c r="J22" t="b">
        <f t="shared" si="8"/>
        <v>1</v>
      </c>
    </row>
    <row r="23" spans="1:12" x14ac:dyDescent="0.25">
      <c r="A23" s="112">
        <f>"2/24/2018"+COUNTIFS($B$17:B23,B23)</f>
        <v>43156</v>
      </c>
      <c r="B23" s="40" t="s">
        <v>377</v>
      </c>
      <c r="C23" s="40">
        <v>22710</v>
      </c>
      <c r="D23" s="57">
        <f t="shared" si="5"/>
        <v>370</v>
      </c>
      <c r="E23" s="57">
        <f t="shared" si="4"/>
        <v>15000</v>
      </c>
      <c r="F23" s="60">
        <f t="shared" si="4"/>
        <v>0.05</v>
      </c>
      <c r="G23" s="57">
        <f t="shared" si="6"/>
        <v>755.5</v>
      </c>
      <c r="I23">
        <f t="shared" si="7"/>
        <v>755.5</v>
      </c>
      <c r="J23" t="b">
        <f t="shared" si="8"/>
        <v>1</v>
      </c>
    </row>
    <row r="24" spans="1:12" x14ac:dyDescent="0.25">
      <c r="A24" s="112">
        <f>"2/24/2018"+COUNTIFS($B$17:B24,B24)</f>
        <v>43156</v>
      </c>
      <c r="B24" s="40" t="s">
        <v>378</v>
      </c>
      <c r="C24" s="40">
        <v>23126</v>
      </c>
      <c r="D24" s="57">
        <f t="shared" si="5"/>
        <v>370</v>
      </c>
      <c r="E24" s="57">
        <f t="shared" si="4"/>
        <v>15000</v>
      </c>
      <c r="F24" s="60">
        <f t="shared" si="4"/>
        <v>0.05</v>
      </c>
      <c r="G24" s="57">
        <f t="shared" si="6"/>
        <v>776.3</v>
      </c>
      <c r="I24">
        <f t="shared" si="7"/>
        <v>776.3</v>
      </c>
      <c r="J24" t="b">
        <f t="shared" si="8"/>
        <v>1</v>
      </c>
    </row>
    <row r="25" spans="1:12" x14ac:dyDescent="0.25">
      <c r="A25" s="112">
        <f>"2/24/2018"+COUNTIFS($B$17:B25,B25)</f>
        <v>43156</v>
      </c>
      <c r="B25" s="40" t="s">
        <v>379</v>
      </c>
      <c r="C25" s="40">
        <v>12842</v>
      </c>
      <c r="D25" s="57">
        <f t="shared" si="5"/>
        <v>130</v>
      </c>
      <c r="E25" s="57">
        <f t="shared" si="4"/>
        <v>9000</v>
      </c>
      <c r="F25" s="60">
        <f t="shared" si="4"/>
        <v>0.04</v>
      </c>
      <c r="G25" s="57">
        <f t="shared" si="6"/>
        <v>283.68</v>
      </c>
      <c r="I25">
        <f t="shared" si="7"/>
        <v>283.68</v>
      </c>
      <c r="J25" t="b">
        <f t="shared" si="8"/>
        <v>1</v>
      </c>
    </row>
    <row r="26" spans="1:12" x14ac:dyDescent="0.25">
      <c r="A26" s="112">
        <f>"2/24/2018"+COUNTIFS($B$17:B26,B26)</f>
        <v>43156</v>
      </c>
      <c r="B26" s="40" t="s">
        <v>380</v>
      </c>
      <c r="C26" s="40">
        <v>17598</v>
      </c>
      <c r="D26" s="57">
        <f t="shared" si="5"/>
        <v>370</v>
      </c>
      <c r="E26" s="57">
        <f t="shared" si="4"/>
        <v>15000</v>
      </c>
      <c r="F26" s="60">
        <f t="shared" si="4"/>
        <v>0.05</v>
      </c>
      <c r="G26" s="57">
        <f t="shared" si="6"/>
        <v>499.9</v>
      </c>
      <c r="I26">
        <f t="shared" si="7"/>
        <v>499.9</v>
      </c>
      <c r="J26" t="b">
        <f t="shared" si="8"/>
        <v>1</v>
      </c>
    </row>
    <row r="27" spans="1:12" x14ac:dyDescent="0.25">
      <c r="A27" s="112">
        <f>"2/24/2018"+COUNTIFS($B$17:B27,B27)</f>
        <v>43156</v>
      </c>
      <c r="B27" s="40" t="s">
        <v>381</v>
      </c>
      <c r="C27" s="40">
        <v>13650</v>
      </c>
      <c r="D27" s="57">
        <f t="shared" si="5"/>
        <v>130</v>
      </c>
      <c r="E27" s="57">
        <f t="shared" si="4"/>
        <v>9000</v>
      </c>
      <c r="F27" s="60">
        <f t="shared" si="4"/>
        <v>0.04</v>
      </c>
      <c r="G27" s="57">
        <f t="shared" si="6"/>
        <v>316</v>
      </c>
      <c r="I27">
        <f t="shared" si="7"/>
        <v>316</v>
      </c>
      <c r="J27" t="b">
        <f t="shared" si="8"/>
        <v>1</v>
      </c>
    </row>
    <row r="28" spans="1:12" x14ac:dyDescent="0.25">
      <c r="A28" s="112">
        <f>"2/24/2018"+COUNTIFS($B$17:B28,B28)</f>
        <v>43156</v>
      </c>
      <c r="B28" s="40" t="s">
        <v>382</v>
      </c>
      <c r="C28" s="40">
        <v>18857</v>
      </c>
      <c r="D28" s="57">
        <f t="shared" si="5"/>
        <v>370</v>
      </c>
      <c r="E28" s="57">
        <f t="shared" si="4"/>
        <v>15000</v>
      </c>
      <c r="F28" s="60">
        <f t="shared" si="4"/>
        <v>0.05</v>
      </c>
      <c r="G28" s="57">
        <f t="shared" si="6"/>
        <v>562.85</v>
      </c>
      <c r="I28">
        <f t="shared" si="7"/>
        <v>562.85</v>
      </c>
      <c r="J28" t="b">
        <f t="shared" si="8"/>
        <v>1</v>
      </c>
    </row>
    <row r="29" spans="1:12" x14ac:dyDescent="0.25">
      <c r="A29" s="112">
        <f>"2/24/2018"+COUNTIFS($B$17:B29,B29)</f>
        <v>43156</v>
      </c>
      <c r="B29" s="40" t="s">
        <v>383</v>
      </c>
      <c r="C29" s="40">
        <v>16297</v>
      </c>
      <c r="D29" s="57">
        <f t="shared" si="5"/>
        <v>370</v>
      </c>
      <c r="E29" s="57">
        <f t="shared" si="4"/>
        <v>15000</v>
      </c>
      <c r="F29" s="60">
        <f t="shared" si="4"/>
        <v>0.05</v>
      </c>
      <c r="G29" s="57">
        <f t="shared" si="6"/>
        <v>434.85</v>
      </c>
      <c r="I29">
        <f t="shared" si="7"/>
        <v>434.85</v>
      </c>
      <c r="J29" t="b">
        <f t="shared" si="8"/>
        <v>1</v>
      </c>
    </row>
    <row r="30" spans="1:12" x14ac:dyDescent="0.25">
      <c r="A30" s="112">
        <f>"2/24/2018"+COUNTIFS($B$17:B30,B30)</f>
        <v>43156</v>
      </c>
      <c r="B30" s="40" t="s">
        <v>384</v>
      </c>
      <c r="C30" s="40">
        <v>16552</v>
      </c>
      <c r="D30" s="57">
        <f t="shared" si="5"/>
        <v>370</v>
      </c>
      <c r="E30" s="57">
        <f t="shared" si="4"/>
        <v>15000</v>
      </c>
      <c r="F30" s="60">
        <f t="shared" si="4"/>
        <v>0.05</v>
      </c>
      <c r="G30" s="57">
        <f t="shared" si="6"/>
        <v>447.6</v>
      </c>
      <c r="I30">
        <f t="shared" si="7"/>
        <v>447.6</v>
      </c>
      <c r="J30" t="b">
        <f t="shared" si="8"/>
        <v>1</v>
      </c>
    </row>
    <row r="31" spans="1:12" x14ac:dyDescent="0.25">
      <c r="A31" s="112">
        <f>"2/24/2018"+COUNTIFS($B$17:B31,B31)</f>
        <v>43156</v>
      </c>
      <c r="B31" s="40" t="s">
        <v>385</v>
      </c>
      <c r="C31" s="40">
        <v>4452</v>
      </c>
      <c r="D31" s="57">
        <f t="shared" si="5"/>
        <v>0</v>
      </c>
      <c r="E31" s="57">
        <f t="shared" si="4"/>
        <v>0</v>
      </c>
      <c r="F31" s="60">
        <f t="shared" si="4"/>
        <v>0.01</v>
      </c>
      <c r="G31" s="57">
        <f t="shared" si="6"/>
        <v>44.52</v>
      </c>
      <c r="I31">
        <f t="shared" si="7"/>
        <v>44.52</v>
      </c>
      <c r="J31" t="b">
        <f t="shared" si="8"/>
        <v>1</v>
      </c>
    </row>
    <row r="32" spans="1:12" x14ac:dyDescent="0.25">
      <c r="A32" s="112">
        <f>"2/24/2018"+COUNTIFS($B$17:B32,B32)</f>
        <v>43156</v>
      </c>
      <c r="B32" s="40" t="s">
        <v>386</v>
      </c>
      <c r="C32" s="40">
        <v>13246</v>
      </c>
      <c r="D32" s="57">
        <f t="shared" si="5"/>
        <v>130</v>
      </c>
      <c r="E32" s="57">
        <f t="shared" si="4"/>
        <v>9000</v>
      </c>
      <c r="F32" s="60">
        <f t="shared" si="4"/>
        <v>0.04</v>
      </c>
      <c r="G32" s="57">
        <f t="shared" si="6"/>
        <v>299.84000000000003</v>
      </c>
      <c r="I32">
        <f t="shared" si="7"/>
        <v>299.84000000000003</v>
      </c>
      <c r="J32" t="b">
        <f t="shared" si="8"/>
        <v>1</v>
      </c>
    </row>
    <row r="33" spans="1:10" x14ac:dyDescent="0.25">
      <c r="A33" s="112">
        <f>"2/24/2018"+COUNTIFS($B$17:B33,B33)</f>
        <v>43156</v>
      </c>
      <c r="B33" s="40" t="s">
        <v>387</v>
      </c>
      <c r="C33" s="40">
        <v>19415</v>
      </c>
      <c r="D33" s="57">
        <f t="shared" si="5"/>
        <v>370</v>
      </c>
      <c r="E33" s="57">
        <f t="shared" si="5"/>
        <v>15000</v>
      </c>
      <c r="F33" s="60">
        <f t="shared" si="5"/>
        <v>0.05</v>
      </c>
      <c r="G33" s="57">
        <f t="shared" si="6"/>
        <v>590.75</v>
      </c>
      <c r="I33">
        <f t="shared" si="7"/>
        <v>590.75</v>
      </c>
      <c r="J33" t="b">
        <f t="shared" si="8"/>
        <v>1</v>
      </c>
    </row>
    <row r="34" spans="1:10" x14ac:dyDescent="0.25">
      <c r="A34" s="112">
        <f>"2/24/2018"+COUNTIFS($B$17:B34,B34)</f>
        <v>43156</v>
      </c>
      <c r="B34" s="40" t="s">
        <v>388</v>
      </c>
      <c r="C34" s="40">
        <v>19004</v>
      </c>
      <c r="D34" s="57">
        <f t="shared" si="5"/>
        <v>370</v>
      </c>
      <c r="E34" s="57">
        <f t="shared" si="5"/>
        <v>15000</v>
      </c>
      <c r="F34" s="60">
        <f t="shared" si="5"/>
        <v>0.05</v>
      </c>
      <c r="G34" s="57">
        <f t="shared" si="6"/>
        <v>570.20000000000005</v>
      </c>
      <c r="I34">
        <f t="shared" si="7"/>
        <v>570.20000000000005</v>
      </c>
      <c r="J34" t="b">
        <f t="shared" si="8"/>
        <v>1</v>
      </c>
    </row>
    <row r="35" spans="1:10" x14ac:dyDescent="0.25">
      <c r="A35" s="112">
        <f>"2/24/2018"+COUNTIFS($B$17:B35,B35)</f>
        <v>43156</v>
      </c>
      <c r="B35" s="40" t="s">
        <v>389</v>
      </c>
      <c r="C35" s="40">
        <v>14317</v>
      </c>
      <c r="D35" s="57">
        <f t="shared" si="5"/>
        <v>130</v>
      </c>
      <c r="E35" s="57">
        <f t="shared" si="5"/>
        <v>9000</v>
      </c>
      <c r="F35" s="60">
        <f t="shared" si="5"/>
        <v>0.04</v>
      </c>
      <c r="G35" s="57">
        <f t="shared" si="6"/>
        <v>342.68</v>
      </c>
      <c r="I35">
        <f t="shared" si="7"/>
        <v>342.68</v>
      </c>
      <c r="J35" t="b">
        <f t="shared" si="8"/>
        <v>1</v>
      </c>
    </row>
    <row r="36" spans="1:10" x14ac:dyDescent="0.25">
      <c r="A36" s="112">
        <f>"2/24/2018"+COUNTIFS($B$17:B36,B36)</f>
        <v>43156</v>
      </c>
      <c r="B36" s="40" t="s">
        <v>390</v>
      </c>
      <c r="C36" s="40">
        <v>17590</v>
      </c>
      <c r="D36" s="57">
        <f t="shared" si="5"/>
        <v>370</v>
      </c>
      <c r="E36" s="57">
        <f t="shared" si="5"/>
        <v>15000</v>
      </c>
      <c r="F36" s="60">
        <f t="shared" si="5"/>
        <v>0.05</v>
      </c>
      <c r="G36" s="57">
        <f t="shared" si="6"/>
        <v>499.5</v>
      </c>
      <c r="I36">
        <f t="shared" si="7"/>
        <v>499.5</v>
      </c>
      <c r="J36" t="b">
        <f t="shared" si="8"/>
        <v>1</v>
      </c>
    </row>
    <row r="37" spans="1:10" x14ac:dyDescent="0.25">
      <c r="A37" s="112">
        <f>"2/24/2018"+COUNTIFS($B$17:B37,B37)</f>
        <v>43156</v>
      </c>
      <c r="B37" s="40" t="s">
        <v>391</v>
      </c>
      <c r="C37" s="40">
        <v>10779</v>
      </c>
      <c r="D37" s="57">
        <f t="shared" si="5"/>
        <v>130</v>
      </c>
      <c r="E37" s="57">
        <f t="shared" si="5"/>
        <v>9000</v>
      </c>
      <c r="F37" s="60">
        <f t="shared" si="5"/>
        <v>0.04</v>
      </c>
      <c r="G37" s="57">
        <f t="shared" si="6"/>
        <v>201.16</v>
      </c>
      <c r="I37">
        <f t="shared" si="7"/>
        <v>201.16</v>
      </c>
      <c r="J37" t="b">
        <f t="shared" si="8"/>
        <v>1</v>
      </c>
    </row>
    <row r="38" spans="1:10" x14ac:dyDescent="0.25">
      <c r="A38" s="112">
        <f>"2/24/2018"+COUNTIFS($B$17:B38,B38)</f>
        <v>43156</v>
      </c>
      <c r="B38" s="40" t="s">
        <v>392</v>
      </c>
      <c r="C38" s="40">
        <v>18938</v>
      </c>
      <c r="D38" s="57">
        <f t="shared" si="5"/>
        <v>370</v>
      </c>
      <c r="E38" s="57">
        <f t="shared" si="5"/>
        <v>15000</v>
      </c>
      <c r="F38" s="60">
        <f t="shared" si="5"/>
        <v>0.05</v>
      </c>
      <c r="G38" s="57">
        <f t="shared" si="6"/>
        <v>566.9</v>
      </c>
      <c r="I38">
        <f t="shared" si="7"/>
        <v>566.9</v>
      </c>
      <c r="J38" t="b">
        <f t="shared" si="8"/>
        <v>1</v>
      </c>
    </row>
    <row r="39" spans="1:10" x14ac:dyDescent="0.25">
      <c r="A39" s="112">
        <f>"2/24/2018"+COUNTIFS($B$17:B39,B39)</f>
        <v>43156</v>
      </c>
      <c r="B39" s="40" t="s">
        <v>393</v>
      </c>
      <c r="C39" s="40">
        <v>11992</v>
      </c>
      <c r="D39" s="57">
        <f t="shared" si="5"/>
        <v>130</v>
      </c>
      <c r="E39" s="57">
        <f t="shared" si="5"/>
        <v>9000</v>
      </c>
      <c r="F39" s="60">
        <f t="shared" si="5"/>
        <v>0.04</v>
      </c>
      <c r="G39" s="57">
        <f t="shared" si="6"/>
        <v>249.68</v>
      </c>
      <c r="I39">
        <f t="shared" si="7"/>
        <v>249.68</v>
      </c>
      <c r="J39" t="b">
        <f t="shared" si="8"/>
        <v>1</v>
      </c>
    </row>
    <row r="40" spans="1:10" x14ac:dyDescent="0.25">
      <c r="A40" s="112">
        <f>"2/24/2018"+COUNTIFS($B$17:B40,B40)</f>
        <v>43156</v>
      </c>
      <c r="B40" s="40" t="s">
        <v>394</v>
      </c>
      <c r="C40" s="40">
        <v>15319</v>
      </c>
      <c r="D40" s="57">
        <f t="shared" si="5"/>
        <v>370</v>
      </c>
      <c r="E40" s="57">
        <f t="shared" si="5"/>
        <v>15000</v>
      </c>
      <c r="F40" s="60">
        <f t="shared" si="5"/>
        <v>0.05</v>
      </c>
      <c r="G40" s="57">
        <f t="shared" si="6"/>
        <v>385.95</v>
      </c>
      <c r="I40">
        <f t="shared" si="7"/>
        <v>385.95</v>
      </c>
      <c r="J40" t="b">
        <f t="shared" si="8"/>
        <v>1</v>
      </c>
    </row>
    <row r="41" spans="1:10" x14ac:dyDescent="0.25">
      <c r="A41" s="112">
        <f>"2/24/2018"+COUNTIFS($B$17:B41,B41)</f>
        <v>43156</v>
      </c>
      <c r="B41" s="40" t="s">
        <v>395</v>
      </c>
      <c r="C41" s="40">
        <v>15849</v>
      </c>
      <c r="D41" s="57">
        <f t="shared" si="5"/>
        <v>370</v>
      </c>
      <c r="E41" s="57">
        <f t="shared" si="5"/>
        <v>15000</v>
      </c>
      <c r="F41" s="60">
        <f t="shared" si="5"/>
        <v>0.05</v>
      </c>
      <c r="G41" s="57">
        <f t="shared" si="6"/>
        <v>412.45</v>
      </c>
      <c r="I41">
        <f t="shared" si="7"/>
        <v>412.45</v>
      </c>
      <c r="J41" t="b">
        <f t="shared" si="8"/>
        <v>1</v>
      </c>
    </row>
    <row r="42" spans="1:10" x14ac:dyDescent="0.25">
      <c r="A42" s="112">
        <f>"2/24/2018"+COUNTIFS($B$17:B42,B42)</f>
        <v>43156</v>
      </c>
      <c r="B42" s="40" t="s">
        <v>396</v>
      </c>
      <c r="C42" s="40">
        <v>15161</v>
      </c>
      <c r="D42" s="57">
        <f t="shared" si="5"/>
        <v>370</v>
      </c>
      <c r="E42" s="57">
        <f t="shared" si="5"/>
        <v>15000</v>
      </c>
      <c r="F42" s="60">
        <f t="shared" si="5"/>
        <v>0.05</v>
      </c>
      <c r="G42" s="57">
        <f t="shared" si="6"/>
        <v>378.05</v>
      </c>
      <c r="I42">
        <f t="shared" si="7"/>
        <v>378.05</v>
      </c>
      <c r="J42" t="b">
        <f t="shared" si="8"/>
        <v>1</v>
      </c>
    </row>
    <row r="43" spans="1:10" x14ac:dyDescent="0.25">
      <c r="A43" s="112">
        <f>"2/24/2018"+COUNTIFS($B$17:B43,B43)</f>
        <v>43156</v>
      </c>
      <c r="B43" s="40" t="s">
        <v>397</v>
      </c>
      <c r="C43" s="40">
        <v>9673</v>
      </c>
      <c r="D43" s="57">
        <f t="shared" si="5"/>
        <v>130</v>
      </c>
      <c r="E43" s="57">
        <f t="shared" si="5"/>
        <v>9000</v>
      </c>
      <c r="F43" s="60">
        <f t="shared" si="5"/>
        <v>0.04</v>
      </c>
      <c r="G43" s="57">
        <f t="shared" si="6"/>
        <v>156.92000000000002</v>
      </c>
      <c r="I43">
        <f t="shared" si="7"/>
        <v>156.92000000000002</v>
      </c>
      <c r="J43" t="b">
        <f t="shared" si="8"/>
        <v>1</v>
      </c>
    </row>
    <row r="44" spans="1:10" x14ac:dyDescent="0.25">
      <c r="A44" s="112">
        <f>"2/24/2018"+COUNTIFS($B$17:B44,B44)</f>
        <v>43156</v>
      </c>
      <c r="B44" s="40" t="s">
        <v>398</v>
      </c>
      <c r="C44" s="40">
        <v>19832</v>
      </c>
      <c r="D44" s="57">
        <f t="shared" si="5"/>
        <v>370</v>
      </c>
      <c r="E44" s="57">
        <f t="shared" si="5"/>
        <v>15000</v>
      </c>
      <c r="F44" s="60">
        <f t="shared" si="5"/>
        <v>0.05</v>
      </c>
      <c r="G44" s="57">
        <f t="shared" si="6"/>
        <v>611.6</v>
      </c>
      <c r="I44">
        <f t="shared" si="7"/>
        <v>611.6</v>
      </c>
      <c r="J44" t="b">
        <f t="shared" si="8"/>
        <v>1</v>
      </c>
    </row>
    <row r="45" spans="1:10" x14ac:dyDescent="0.25">
      <c r="A45" s="112">
        <f>"2/24/2018"+COUNTIFS($B$17:B45,B45)</f>
        <v>43156</v>
      </c>
      <c r="B45" s="40" t="s">
        <v>399</v>
      </c>
      <c r="C45" s="40">
        <v>12329</v>
      </c>
      <c r="D45" s="57">
        <f t="shared" si="5"/>
        <v>130</v>
      </c>
      <c r="E45" s="57">
        <f t="shared" si="5"/>
        <v>9000</v>
      </c>
      <c r="F45" s="60">
        <f t="shared" si="5"/>
        <v>0.04</v>
      </c>
      <c r="G45" s="57">
        <f t="shared" si="6"/>
        <v>263.15999999999997</v>
      </c>
      <c r="I45">
        <f t="shared" si="7"/>
        <v>263.15999999999997</v>
      </c>
      <c r="J45" t="b">
        <f t="shared" si="8"/>
        <v>1</v>
      </c>
    </row>
    <row r="46" spans="1:10" x14ac:dyDescent="0.25">
      <c r="A46" s="112">
        <f>"2/24/2018"+COUNTIFS($B$17:B46,B46)</f>
        <v>43156</v>
      </c>
      <c r="B46" s="40" t="s">
        <v>400</v>
      </c>
      <c r="C46" s="40">
        <v>12139</v>
      </c>
      <c r="D46" s="57">
        <f t="shared" si="5"/>
        <v>130</v>
      </c>
      <c r="E46" s="57">
        <f t="shared" si="5"/>
        <v>9000</v>
      </c>
      <c r="F46" s="60">
        <f t="shared" si="5"/>
        <v>0.04</v>
      </c>
      <c r="G46" s="57">
        <f t="shared" si="6"/>
        <v>255.56</v>
      </c>
      <c r="I46">
        <f t="shared" si="7"/>
        <v>255.56</v>
      </c>
      <c r="J46" t="b">
        <f t="shared" si="8"/>
        <v>1</v>
      </c>
    </row>
    <row r="47" spans="1:10" x14ac:dyDescent="0.25">
      <c r="A47" s="112">
        <f>"2/24/2018"+COUNTIFS($B$17:B47,B47)</f>
        <v>43156</v>
      </c>
      <c r="B47" s="40" t="s">
        <v>401</v>
      </c>
      <c r="C47" s="40">
        <v>15500</v>
      </c>
      <c r="D47" s="57">
        <f t="shared" si="5"/>
        <v>370</v>
      </c>
      <c r="E47" s="57">
        <f t="shared" si="5"/>
        <v>15000</v>
      </c>
      <c r="F47" s="60">
        <f t="shared" si="5"/>
        <v>0.05</v>
      </c>
      <c r="G47" s="57">
        <f t="shared" si="6"/>
        <v>395</v>
      </c>
      <c r="I47">
        <f t="shared" si="7"/>
        <v>395</v>
      </c>
      <c r="J47" t="b">
        <f t="shared" si="8"/>
        <v>1</v>
      </c>
    </row>
    <row r="48" spans="1:10" x14ac:dyDescent="0.25">
      <c r="A48" s="112">
        <f>"2/24/2018"+COUNTIFS($B$17:B48,B48)</f>
        <v>43156</v>
      </c>
      <c r="B48" s="40" t="s">
        <v>402</v>
      </c>
      <c r="C48" s="40">
        <v>18714</v>
      </c>
      <c r="D48" s="57">
        <f t="shared" si="5"/>
        <v>370</v>
      </c>
      <c r="E48" s="57">
        <f t="shared" si="5"/>
        <v>15000</v>
      </c>
      <c r="F48" s="60">
        <f t="shared" si="5"/>
        <v>0.05</v>
      </c>
      <c r="G48" s="57">
        <f t="shared" si="6"/>
        <v>555.70000000000005</v>
      </c>
      <c r="I48">
        <f t="shared" si="7"/>
        <v>555.70000000000005</v>
      </c>
      <c r="J48" t="b">
        <f t="shared" si="8"/>
        <v>1</v>
      </c>
    </row>
    <row r="49" spans="1:10" x14ac:dyDescent="0.25">
      <c r="A49" s="112">
        <f>"2/24/2018"+COUNTIFS($B$17:B49,B49)</f>
        <v>43156</v>
      </c>
      <c r="B49" s="40" t="s">
        <v>403</v>
      </c>
      <c r="C49" s="40">
        <v>12577</v>
      </c>
      <c r="D49" s="57">
        <f t="shared" si="5"/>
        <v>130</v>
      </c>
      <c r="E49" s="57">
        <f t="shared" si="5"/>
        <v>9000</v>
      </c>
      <c r="F49" s="60">
        <f t="shared" si="5"/>
        <v>0.04</v>
      </c>
      <c r="G49" s="57">
        <f t="shared" si="6"/>
        <v>273.08000000000004</v>
      </c>
      <c r="I49">
        <f t="shared" si="7"/>
        <v>273.08000000000004</v>
      </c>
      <c r="J49" t="b">
        <f t="shared" si="8"/>
        <v>1</v>
      </c>
    </row>
    <row r="50" spans="1:10" x14ac:dyDescent="0.25">
      <c r="A50" s="112">
        <f>"2/24/2018"+COUNTIFS($B$17:B50,B50)</f>
        <v>43156</v>
      </c>
      <c r="B50" s="40" t="s">
        <v>404</v>
      </c>
      <c r="C50" s="40">
        <v>7317</v>
      </c>
      <c r="D50" s="57">
        <f t="shared" ref="D50:F81" si="9">VLOOKUP($C50,$G$8:$K$13,D$15)</f>
        <v>80</v>
      </c>
      <c r="E50" s="57">
        <f t="shared" si="9"/>
        <v>7000</v>
      </c>
      <c r="F50" s="60">
        <f t="shared" si="9"/>
        <v>2.5000000000000001E-2</v>
      </c>
      <c r="G50" s="57">
        <f t="shared" si="6"/>
        <v>87.924999999999997</v>
      </c>
      <c r="I50">
        <f t="shared" si="7"/>
        <v>87.924999999999997</v>
      </c>
      <c r="J50" t="b">
        <f t="shared" si="8"/>
        <v>1</v>
      </c>
    </row>
    <row r="51" spans="1:10" x14ac:dyDescent="0.25">
      <c r="A51" s="112">
        <f>"2/24/2018"+COUNTIFS($B$17:B51,B51)</f>
        <v>43156</v>
      </c>
      <c r="B51" s="40" t="s">
        <v>405</v>
      </c>
      <c r="C51" s="40">
        <v>11726</v>
      </c>
      <c r="D51" s="57">
        <f t="shared" si="9"/>
        <v>130</v>
      </c>
      <c r="E51" s="57">
        <f t="shared" si="9"/>
        <v>9000</v>
      </c>
      <c r="F51" s="60">
        <f t="shared" si="9"/>
        <v>0.04</v>
      </c>
      <c r="G51" s="57">
        <f t="shared" si="6"/>
        <v>239.04000000000002</v>
      </c>
      <c r="I51">
        <f t="shared" si="7"/>
        <v>239.04000000000002</v>
      </c>
      <c r="J51" t="b">
        <f t="shared" si="8"/>
        <v>1</v>
      </c>
    </row>
    <row r="52" spans="1:10" x14ac:dyDescent="0.25">
      <c r="A52" s="112">
        <f>"2/24/2018"+COUNTIFS($B$17:B52,B52)</f>
        <v>43156</v>
      </c>
      <c r="B52" s="40" t="s">
        <v>406</v>
      </c>
      <c r="C52" s="40">
        <v>11876</v>
      </c>
      <c r="D52" s="57">
        <f t="shared" si="9"/>
        <v>130</v>
      </c>
      <c r="E52" s="57">
        <f t="shared" si="9"/>
        <v>9000</v>
      </c>
      <c r="F52" s="60">
        <f t="shared" si="9"/>
        <v>0.04</v>
      </c>
      <c r="G52" s="57">
        <f t="shared" si="6"/>
        <v>245.04000000000002</v>
      </c>
      <c r="I52">
        <f t="shared" si="7"/>
        <v>245.04000000000002</v>
      </c>
      <c r="J52" t="b">
        <f t="shared" si="8"/>
        <v>1</v>
      </c>
    </row>
    <row r="53" spans="1:10" x14ac:dyDescent="0.25">
      <c r="A53" s="112">
        <f>"2/24/2018"+COUNTIFS($B$17:B53,B53)</f>
        <v>43156</v>
      </c>
      <c r="B53" s="40" t="s">
        <v>407</v>
      </c>
      <c r="C53" s="40">
        <v>18133</v>
      </c>
      <c r="D53" s="57">
        <f t="shared" si="9"/>
        <v>370</v>
      </c>
      <c r="E53" s="57">
        <f t="shared" si="9"/>
        <v>15000</v>
      </c>
      <c r="F53" s="60">
        <f t="shared" si="9"/>
        <v>0.05</v>
      </c>
      <c r="G53" s="57">
        <f t="shared" si="6"/>
        <v>526.65</v>
      </c>
      <c r="I53">
        <f t="shared" si="7"/>
        <v>526.65</v>
      </c>
      <c r="J53" t="b">
        <f t="shared" si="8"/>
        <v>1</v>
      </c>
    </row>
    <row r="54" spans="1:10" x14ac:dyDescent="0.25">
      <c r="A54" s="112">
        <f>"2/24/2018"+COUNTIFS($B$17:B54,B54)</f>
        <v>43156</v>
      </c>
      <c r="B54" s="40" t="s">
        <v>408</v>
      </c>
      <c r="C54" s="40">
        <v>4633</v>
      </c>
      <c r="D54" s="57">
        <f t="shared" si="9"/>
        <v>0</v>
      </c>
      <c r="E54" s="57">
        <f t="shared" si="9"/>
        <v>0</v>
      </c>
      <c r="F54" s="60">
        <f t="shared" si="9"/>
        <v>0.01</v>
      </c>
      <c r="G54" s="57">
        <f t="shared" si="6"/>
        <v>46.33</v>
      </c>
      <c r="I54">
        <f t="shared" si="7"/>
        <v>46.33</v>
      </c>
      <c r="J54" t="b">
        <f t="shared" si="8"/>
        <v>1</v>
      </c>
    </row>
    <row r="55" spans="1:10" x14ac:dyDescent="0.25">
      <c r="A55" s="112">
        <f>"2/24/2018"+COUNTIFS($B$17:B55,B55)</f>
        <v>43156</v>
      </c>
      <c r="B55" s="40" t="s">
        <v>409</v>
      </c>
      <c r="C55" s="40">
        <v>14667</v>
      </c>
      <c r="D55" s="57">
        <f t="shared" si="9"/>
        <v>130</v>
      </c>
      <c r="E55" s="57">
        <f t="shared" si="9"/>
        <v>9000</v>
      </c>
      <c r="F55" s="60">
        <f t="shared" si="9"/>
        <v>0.04</v>
      </c>
      <c r="G55" s="57">
        <f t="shared" si="6"/>
        <v>356.68</v>
      </c>
      <c r="I55">
        <f t="shared" si="7"/>
        <v>356.68</v>
      </c>
      <c r="J55" t="b">
        <f t="shared" si="8"/>
        <v>1</v>
      </c>
    </row>
    <row r="56" spans="1:10" x14ac:dyDescent="0.25">
      <c r="A56" s="112">
        <f>"2/24/2018"+COUNTIFS($B$17:B56,B56)</f>
        <v>43156</v>
      </c>
      <c r="B56" s="40" t="s">
        <v>410</v>
      </c>
      <c r="C56" s="40">
        <v>15594</v>
      </c>
      <c r="D56" s="57">
        <f t="shared" si="9"/>
        <v>370</v>
      </c>
      <c r="E56" s="57">
        <f t="shared" si="9"/>
        <v>15000</v>
      </c>
      <c r="F56" s="60">
        <f t="shared" si="9"/>
        <v>0.05</v>
      </c>
      <c r="G56" s="57">
        <f t="shared" si="6"/>
        <v>399.7</v>
      </c>
      <c r="I56">
        <f t="shared" si="7"/>
        <v>399.7</v>
      </c>
      <c r="J56" t="b">
        <f t="shared" si="8"/>
        <v>1</v>
      </c>
    </row>
    <row r="57" spans="1:10" x14ac:dyDescent="0.25">
      <c r="A57" s="112">
        <f>"2/24/2018"+COUNTIFS($B$17:B57,B57)</f>
        <v>43156</v>
      </c>
      <c r="B57" s="40" t="s">
        <v>411</v>
      </c>
      <c r="C57" s="40">
        <v>19433</v>
      </c>
      <c r="D57" s="57">
        <f t="shared" si="9"/>
        <v>370</v>
      </c>
      <c r="E57" s="57">
        <f t="shared" si="9"/>
        <v>15000</v>
      </c>
      <c r="F57" s="60">
        <f t="shared" si="9"/>
        <v>0.05</v>
      </c>
      <c r="G57" s="57">
        <f t="shared" si="6"/>
        <v>591.65</v>
      </c>
      <c r="I57">
        <f t="shared" si="7"/>
        <v>591.65</v>
      </c>
      <c r="J57" t="b">
        <f t="shared" si="8"/>
        <v>1</v>
      </c>
    </row>
    <row r="58" spans="1:10" x14ac:dyDescent="0.25">
      <c r="A58" s="112">
        <f>"2/24/2018"+COUNTIFS($B$17:B58,B58)</f>
        <v>43156</v>
      </c>
      <c r="B58" s="40" t="s">
        <v>412</v>
      </c>
      <c r="C58" s="40">
        <v>16516</v>
      </c>
      <c r="D58" s="57">
        <f t="shared" si="9"/>
        <v>370</v>
      </c>
      <c r="E58" s="57">
        <f t="shared" si="9"/>
        <v>15000</v>
      </c>
      <c r="F58" s="60">
        <f t="shared" si="9"/>
        <v>0.05</v>
      </c>
      <c r="G58" s="57">
        <f t="shared" si="6"/>
        <v>445.8</v>
      </c>
      <c r="I58">
        <f t="shared" si="7"/>
        <v>445.8</v>
      </c>
      <c r="J58" t="b">
        <f t="shared" si="8"/>
        <v>1</v>
      </c>
    </row>
    <row r="59" spans="1:10" x14ac:dyDescent="0.25">
      <c r="A59" s="112">
        <f>"2/24/2018"+COUNTIFS($B$17:B59,B59)</f>
        <v>43156</v>
      </c>
      <c r="B59" s="40" t="s">
        <v>413</v>
      </c>
      <c r="C59" s="40">
        <v>17223</v>
      </c>
      <c r="D59" s="57">
        <f t="shared" si="9"/>
        <v>370</v>
      </c>
      <c r="E59" s="57">
        <f t="shared" si="9"/>
        <v>15000</v>
      </c>
      <c r="F59" s="60">
        <f t="shared" si="9"/>
        <v>0.05</v>
      </c>
      <c r="G59" s="57">
        <f t="shared" si="6"/>
        <v>481.15</v>
      </c>
      <c r="I59">
        <f t="shared" si="7"/>
        <v>481.15</v>
      </c>
      <c r="J59" t="b">
        <f t="shared" si="8"/>
        <v>1</v>
      </c>
    </row>
    <row r="60" spans="1:10" x14ac:dyDescent="0.25">
      <c r="A60" s="112">
        <f>"2/24/2018"+COUNTIFS($B$17:B60,B60)</f>
        <v>43156</v>
      </c>
      <c r="B60" s="40" t="s">
        <v>414</v>
      </c>
      <c r="C60" s="40">
        <v>17349</v>
      </c>
      <c r="D60" s="57">
        <f t="shared" si="9"/>
        <v>370</v>
      </c>
      <c r="E60" s="57">
        <f t="shared" si="9"/>
        <v>15000</v>
      </c>
      <c r="F60" s="60">
        <f t="shared" si="9"/>
        <v>0.05</v>
      </c>
      <c r="G60" s="57">
        <f t="shared" si="6"/>
        <v>487.45</v>
      </c>
      <c r="I60">
        <f t="shared" si="7"/>
        <v>487.45</v>
      </c>
      <c r="J60" t="b">
        <f t="shared" si="8"/>
        <v>1</v>
      </c>
    </row>
    <row r="61" spans="1:10" x14ac:dyDescent="0.25">
      <c r="A61" s="112">
        <f>"2/24/2018"+COUNTIFS($B$17:B61,B61)</f>
        <v>43156</v>
      </c>
      <c r="B61" s="40" t="s">
        <v>415</v>
      </c>
      <c r="C61" s="40">
        <v>27553</v>
      </c>
      <c r="D61" s="57">
        <f t="shared" si="9"/>
        <v>870</v>
      </c>
      <c r="E61" s="57">
        <f t="shared" si="9"/>
        <v>25000</v>
      </c>
      <c r="F61" s="60">
        <f t="shared" si="9"/>
        <v>7.4999999999999997E-2</v>
      </c>
      <c r="G61" s="57">
        <f t="shared" si="6"/>
        <v>1061.4749999999999</v>
      </c>
      <c r="I61">
        <f t="shared" si="7"/>
        <v>1061.4749999999999</v>
      </c>
      <c r="J61" t="b">
        <f t="shared" si="8"/>
        <v>1</v>
      </c>
    </row>
    <row r="62" spans="1:10" x14ac:dyDescent="0.25">
      <c r="A62" s="112">
        <f>"2/24/2018"+COUNTIFS($B$17:B62,B62)</f>
        <v>43156</v>
      </c>
      <c r="B62" s="40" t="s">
        <v>416</v>
      </c>
      <c r="C62" s="40">
        <v>20516</v>
      </c>
      <c r="D62" s="57">
        <f t="shared" si="9"/>
        <v>370</v>
      </c>
      <c r="E62" s="57">
        <f t="shared" si="9"/>
        <v>15000</v>
      </c>
      <c r="F62" s="60">
        <f t="shared" si="9"/>
        <v>0.05</v>
      </c>
      <c r="G62" s="57">
        <f t="shared" si="6"/>
        <v>645.79999999999995</v>
      </c>
      <c r="I62">
        <f t="shared" si="7"/>
        <v>645.79999999999995</v>
      </c>
      <c r="J62" t="b">
        <f t="shared" si="8"/>
        <v>1</v>
      </c>
    </row>
    <row r="63" spans="1:10" x14ac:dyDescent="0.25">
      <c r="A63" s="112">
        <f>"2/24/2018"+COUNTIFS($B$17:B63,B63)</f>
        <v>43156</v>
      </c>
      <c r="B63" s="40" t="s">
        <v>417</v>
      </c>
      <c r="C63" s="40">
        <v>3918</v>
      </c>
      <c r="D63" s="57">
        <f t="shared" si="9"/>
        <v>0</v>
      </c>
      <c r="E63" s="57">
        <f t="shared" si="9"/>
        <v>0</v>
      </c>
      <c r="F63" s="60">
        <f t="shared" si="9"/>
        <v>0.01</v>
      </c>
      <c r="G63" s="57">
        <f t="shared" si="6"/>
        <v>39.18</v>
      </c>
      <c r="I63">
        <f t="shared" si="7"/>
        <v>39.18</v>
      </c>
      <c r="J63" t="b">
        <f t="shared" si="8"/>
        <v>1</v>
      </c>
    </row>
    <row r="64" spans="1:10" x14ac:dyDescent="0.25">
      <c r="A64" s="112">
        <f>"2/24/2018"+COUNTIFS($B$17:B64,B64)</f>
        <v>43156</v>
      </c>
      <c r="B64" s="40" t="s">
        <v>418</v>
      </c>
      <c r="C64" s="40">
        <v>16608</v>
      </c>
      <c r="D64" s="57">
        <f t="shared" si="9"/>
        <v>370</v>
      </c>
      <c r="E64" s="57">
        <f t="shared" si="9"/>
        <v>15000</v>
      </c>
      <c r="F64" s="60">
        <f t="shared" si="9"/>
        <v>0.05</v>
      </c>
      <c r="G64" s="57">
        <f t="shared" si="6"/>
        <v>450.4</v>
      </c>
      <c r="I64">
        <f t="shared" si="7"/>
        <v>450.4</v>
      </c>
      <c r="J64" t="b">
        <f t="shared" si="8"/>
        <v>1</v>
      </c>
    </row>
    <row r="65" spans="1:10" x14ac:dyDescent="0.25">
      <c r="A65" s="112">
        <f>"2/24/2018"+COUNTIFS($B$17:B65,B65)</f>
        <v>43156</v>
      </c>
      <c r="B65" s="40" t="s">
        <v>419</v>
      </c>
      <c r="C65" s="40">
        <v>9096</v>
      </c>
      <c r="D65" s="57">
        <f t="shared" si="9"/>
        <v>130</v>
      </c>
      <c r="E65" s="57">
        <f t="shared" si="9"/>
        <v>9000</v>
      </c>
      <c r="F65" s="60">
        <f t="shared" si="9"/>
        <v>0.04</v>
      </c>
      <c r="G65" s="57">
        <f t="shared" si="6"/>
        <v>133.84</v>
      </c>
      <c r="I65">
        <f t="shared" si="7"/>
        <v>133.84</v>
      </c>
      <c r="J65" t="b">
        <f t="shared" si="8"/>
        <v>1</v>
      </c>
    </row>
    <row r="66" spans="1:10" x14ac:dyDescent="0.25">
      <c r="A66" s="112">
        <f>"2/24/2018"+COUNTIFS($B$17:B66,B66)</f>
        <v>43156</v>
      </c>
      <c r="B66" s="40" t="s">
        <v>420</v>
      </c>
      <c r="C66" s="40">
        <v>19735</v>
      </c>
      <c r="D66" s="57">
        <f t="shared" si="9"/>
        <v>370</v>
      </c>
      <c r="E66" s="57">
        <f t="shared" si="9"/>
        <v>15000</v>
      </c>
      <c r="F66" s="60">
        <f t="shared" si="9"/>
        <v>0.05</v>
      </c>
      <c r="G66" s="57">
        <f t="shared" si="6"/>
        <v>606.75</v>
      </c>
      <c r="I66">
        <f t="shared" si="7"/>
        <v>606.75</v>
      </c>
      <c r="J66" t="b">
        <f t="shared" si="8"/>
        <v>1</v>
      </c>
    </row>
    <row r="67" spans="1:10" x14ac:dyDescent="0.25">
      <c r="A67" s="112">
        <f>"2/24/2018"+COUNTIFS($B$17:B67,B67)</f>
        <v>43157</v>
      </c>
      <c r="B67" s="40" t="s">
        <v>371</v>
      </c>
      <c r="C67" s="40">
        <v>29511</v>
      </c>
      <c r="D67" s="57">
        <f t="shared" si="9"/>
        <v>870</v>
      </c>
      <c r="E67" s="57">
        <f t="shared" si="9"/>
        <v>25000</v>
      </c>
      <c r="F67" s="60">
        <f t="shared" si="9"/>
        <v>7.4999999999999997E-2</v>
      </c>
      <c r="G67" s="57">
        <f t="shared" si="6"/>
        <v>1208.325</v>
      </c>
      <c r="I67">
        <f t="shared" si="7"/>
        <v>1208.325</v>
      </c>
      <c r="J67" t="b">
        <f t="shared" si="8"/>
        <v>1</v>
      </c>
    </row>
    <row r="68" spans="1:10" x14ac:dyDescent="0.25">
      <c r="A68" s="112">
        <f>"2/24/2018"+COUNTIFS($B$17:B68,B68)</f>
        <v>43157</v>
      </c>
      <c r="B68" s="40" t="s">
        <v>372</v>
      </c>
      <c r="C68" s="40">
        <v>26221</v>
      </c>
      <c r="D68" s="57">
        <f t="shared" si="9"/>
        <v>870</v>
      </c>
      <c r="E68" s="57">
        <f t="shared" si="9"/>
        <v>25000</v>
      </c>
      <c r="F68" s="60">
        <f t="shared" si="9"/>
        <v>7.4999999999999997E-2</v>
      </c>
      <c r="G68" s="57">
        <f t="shared" si="6"/>
        <v>961.57500000000005</v>
      </c>
      <c r="I68">
        <f t="shared" si="7"/>
        <v>961.57500000000005</v>
      </c>
      <c r="J68" t="b">
        <f t="shared" si="8"/>
        <v>1</v>
      </c>
    </row>
    <row r="69" spans="1:10" x14ac:dyDescent="0.25">
      <c r="A69" s="112">
        <f>"2/24/2018"+COUNTIFS($B$17:B69,B69)</f>
        <v>43157</v>
      </c>
      <c r="B69" s="40" t="s">
        <v>373</v>
      </c>
      <c r="C69" s="40">
        <v>10913</v>
      </c>
      <c r="D69" s="57">
        <f t="shared" si="9"/>
        <v>130</v>
      </c>
      <c r="E69" s="57">
        <f t="shared" si="9"/>
        <v>9000</v>
      </c>
      <c r="F69" s="60">
        <f t="shared" si="9"/>
        <v>0.04</v>
      </c>
      <c r="G69" s="57">
        <f t="shared" si="6"/>
        <v>206.51999999999998</v>
      </c>
      <c r="I69">
        <f t="shared" si="7"/>
        <v>206.51999999999998</v>
      </c>
      <c r="J69" t="b">
        <f t="shared" si="8"/>
        <v>1</v>
      </c>
    </row>
    <row r="70" spans="1:10" x14ac:dyDescent="0.25">
      <c r="A70" s="112">
        <f>"2/24/2018"+COUNTIFS($B$17:B70,B70)</f>
        <v>43157</v>
      </c>
      <c r="B70" s="40" t="s">
        <v>374</v>
      </c>
      <c r="C70" s="40">
        <v>7711</v>
      </c>
      <c r="D70" s="57">
        <f t="shared" si="9"/>
        <v>80</v>
      </c>
      <c r="E70" s="57">
        <f t="shared" si="9"/>
        <v>7000</v>
      </c>
      <c r="F70" s="60">
        <f t="shared" si="9"/>
        <v>2.5000000000000001E-2</v>
      </c>
      <c r="G70" s="57">
        <f t="shared" si="6"/>
        <v>97.775000000000006</v>
      </c>
      <c r="I70">
        <f t="shared" si="7"/>
        <v>97.775000000000006</v>
      </c>
      <c r="J70" t="b">
        <f t="shared" si="8"/>
        <v>1</v>
      </c>
    </row>
    <row r="71" spans="1:10" x14ac:dyDescent="0.25">
      <c r="A71" s="112">
        <f>"2/24/2018"+COUNTIFS($B$17:B71,B71)</f>
        <v>43157</v>
      </c>
      <c r="B71" s="40" t="s">
        <v>375</v>
      </c>
      <c r="C71" s="40">
        <v>15165</v>
      </c>
      <c r="D71" s="57">
        <f t="shared" si="9"/>
        <v>370</v>
      </c>
      <c r="E71" s="57">
        <f t="shared" si="9"/>
        <v>15000</v>
      </c>
      <c r="F71" s="60">
        <f t="shared" si="9"/>
        <v>0.05</v>
      </c>
      <c r="G71" s="57">
        <f t="shared" si="6"/>
        <v>378.25</v>
      </c>
      <c r="I71">
        <f t="shared" si="7"/>
        <v>378.25</v>
      </c>
      <c r="J71" t="b">
        <f t="shared" si="8"/>
        <v>1</v>
      </c>
    </row>
    <row r="72" spans="1:10" x14ac:dyDescent="0.25">
      <c r="A72" s="112">
        <f>"2/24/2018"+COUNTIFS($B$17:B72,B72)</f>
        <v>43157</v>
      </c>
      <c r="B72" s="40" t="s">
        <v>376</v>
      </c>
      <c r="C72" s="40">
        <v>13180</v>
      </c>
      <c r="D72" s="57">
        <f t="shared" si="9"/>
        <v>130</v>
      </c>
      <c r="E72" s="57">
        <f t="shared" si="9"/>
        <v>9000</v>
      </c>
      <c r="F72" s="60">
        <f t="shared" si="9"/>
        <v>0.04</v>
      </c>
      <c r="G72" s="57">
        <f t="shared" si="6"/>
        <v>297.20000000000005</v>
      </c>
      <c r="I72">
        <f t="shared" si="7"/>
        <v>297.20000000000005</v>
      </c>
      <c r="J72" t="b">
        <f t="shared" si="8"/>
        <v>1</v>
      </c>
    </row>
    <row r="73" spans="1:10" x14ac:dyDescent="0.25">
      <c r="A73" s="112">
        <f>"2/24/2018"+COUNTIFS($B$17:B73,B73)</f>
        <v>43157</v>
      </c>
      <c r="B73" s="40" t="s">
        <v>377</v>
      </c>
      <c r="C73" s="40">
        <v>16348</v>
      </c>
      <c r="D73" s="57">
        <f t="shared" si="9"/>
        <v>370</v>
      </c>
      <c r="E73" s="57">
        <f t="shared" si="9"/>
        <v>15000</v>
      </c>
      <c r="F73" s="60">
        <f t="shared" si="9"/>
        <v>0.05</v>
      </c>
      <c r="G73" s="57">
        <f t="shared" si="6"/>
        <v>437.4</v>
      </c>
      <c r="I73">
        <f t="shared" si="7"/>
        <v>437.4</v>
      </c>
      <c r="J73" t="b">
        <f t="shared" si="8"/>
        <v>1</v>
      </c>
    </row>
    <row r="74" spans="1:10" x14ac:dyDescent="0.25">
      <c r="A74" s="112">
        <f>"2/24/2018"+COUNTIFS($B$17:B74,B74)</f>
        <v>43157</v>
      </c>
      <c r="B74" s="40" t="s">
        <v>378</v>
      </c>
      <c r="C74" s="40">
        <v>14950</v>
      </c>
      <c r="D74" s="57">
        <f t="shared" si="9"/>
        <v>130</v>
      </c>
      <c r="E74" s="57">
        <f t="shared" si="9"/>
        <v>9000</v>
      </c>
      <c r="F74" s="60">
        <f t="shared" si="9"/>
        <v>0.04</v>
      </c>
      <c r="G74" s="57">
        <f t="shared" si="6"/>
        <v>368</v>
      </c>
      <c r="I74">
        <f t="shared" si="7"/>
        <v>368</v>
      </c>
      <c r="J74" t="b">
        <f t="shared" si="8"/>
        <v>1</v>
      </c>
    </row>
    <row r="75" spans="1:10" x14ac:dyDescent="0.25">
      <c r="A75" s="112">
        <f>"2/24/2018"+COUNTIFS($B$17:B75,B75)</f>
        <v>43157</v>
      </c>
      <c r="B75" s="40" t="s">
        <v>379</v>
      </c>
      <c r="C75" s="40">
        <v>30335</v>
      </c>
      <c r="D75" s="57">
        <f t="shared" si="9"/>
        <v>870</v>
      </c>
      <c r="E75" s="57">
        <f t="shared" si="9"/>
        <v>25000</v>
      </c>
      <c r="F75" s="60">
        <f t="shared" si="9"/>
        <v>7.4999999999999997E-2</v>
      </c>
      <c r="G75" s="57">
        <f t="shared" si="6"/>
        <v>1270.125</v>
      </c>
      <c r="I75">
        <f t="shared" si="7"/>
        <v>1270.125</v>
      </c>
      <c r="J75" t="b">
        <f t="shared" si="8"/>
        <v>1</v>
      </c>
    </row>
    <row r="76" spans="1:10" x14ac:dyDescent="0.25">
      <c r="A76" s="112">
        <f>"2/24/2018"+COUNTIFS($B$17:B76,B76)</f>
        <v>43157</v>
      </c>
      <c r="B76" s="40" t="s">
        <v>380</v>
      </c>
      <c r="C76" s="40">
        <v>8921</v>
      </c>
      <c r="D76" s="57">
        <f t="shared" si="9"/>
        <v>80</v>
      </c>
      <c r="E76" s="57">
        <f t="shared" si="9"/>
        <v>7000</v>
      </c>
      <c r="F76" s="60">
        <f t="shared" si="9"/>
        <v>2.5000000000000001E-2</v>
      </c>
      <c r="G76" s="57">
        <f t="shared" si="6"/>
        <v>128.02500000000001</v>
      </c>
      <c r="I76">
        <f t="shared" si="7"/>
        <v>128.02500000000001</v>
      </c>
      <c r="J76" t="b">
        <f t="shared" si="8"/>
        <v>1</v>
      </c>
    </row>
    <row r="77" spans="1:10" x14ac:dyDescent="0.25">
      <c r="A77" s="112">
        <f>"2/24/2018"+COUNTIFS($B$17:B77,B77)</f>
        <v>43157</v>
      </c>
      <c r="B77" s="40" t="s">
        <v>381</v>
      </c>
      <c r="C77" s="40">
        <v>15361</v>
      </c>
      <c r="D77" s="57">
        <f t="shared" si="9"/>
        <v>370</v>
      </c>
      <c r="E77" s="57">
        <f t="shared" si="9"/>
        <v>15000</v>
      </c>
      <c r="F77" s="60">
        <f t="shared" si="9"/>
        <v>0.05</v>
      </c>
      <c r="G77" s="57">
        <f t="shared" si="6"/>
        <v>388.05</v>
      </c>
      <c r="I77">
        <f t="shared" si="7"/>
        <v>388.05</v>
      </c>
      <c r="J77" t="b">
        <f t="shared" si="8"/>
        <v>1</v>
      </c>
    </row>
    <row r="78" spans="1:10" x14ac:dyDescent="0.25">
      <c r="A78" s="112">
        <f>"2/24/2018"+COUNTIFS($B$17:B78,B78)</f>
        <v>43157</v>
      </c>
      <c r="B78" s="40" t="s">
        <v>382</v>
      </c>
      <c r="C78" s="40">
        <v>17937</v>
      </c>
      <c r="D78" s="57">
        <f t="shared" si="9"/>
        <v>370</v>
      </c>
      <c r="E78" s="57">
        <f t="shared" si="9"/>
        <v>15000</v>
      </c>
      <c r="F78" s="60">
        <f t="shared" si="9"/>
        <v>0.05</v>
      </c>
      <c r="G78" s="57">
        <f t="shared" si="6"/>
        <v>516.85</v>
      </c>
      <c r="I78">
        <f t="shared" si="7"/>
        <v>516.85</v>
      </c>
      <c r="J78" t="b">
        <f t="shared" si="8"/>
        <v>1</v>
      </c>
    </row>
    <row r="79" spans="1:10" x14ac:dyDescent="0.25">
      <c r="A79" s="112">
        <f>"2/24/2018"+COUNTIFS($B$17:B79,B79)</f>
        <v>43157</v>
      </c>
      <c r="B79" s="40" t="s">
        <v>383</v>
      </c>
      <c r="C79" s="40">
        <v>12316</v>
      </c>
      <c r="D79" s="57">
        <f t="shared" si="9"/>
        <v>130</v>
      </c>
      <c r="E79" s="57">
        <f t="shared" si="9"/>
        <v>9000</v>
      </c>
      <c r="F79" s="60">
        <f t="shared" si="9"/>
        <v>0.04</v>
      </c>
      <c r="G79" s="57">
        <f t="shared" si="6"/>
        <v>262.64</v>
      </c>
      <c r="I79">
        <f t="shared" si="7"/>
        <v>262.64</v>
      </c>
      <c r="J79" t="b">
        <f t="shared" si="8"/>
        <v>1</v>
      </c>
    </row>
    <row r="80" spans="1:10" x14ac:dyDescent="0.25">
      <c r="A80" s="112">
        <f>"2/24/2018"+COUNTIFS($B$17:B80,B80)</f>
        <v>43157</v>
      </c>
      <c r="B80" s="40" t="s">
        <v>384</v>
      </c>
      <c r="C80" s="40">
        <v>9701</v>
      </c>
      <c r="D80" s="57">
        <f t="shared" si="9"/>
        <v>130</v>
      </c>
      <c r="E80" s="57">
        <f t="shared" si="9"/>
        <v>9000</v>
      </c>
      <c r="F80" s="60">
        <f t="shared" si="9"/>
        <v>0.04</v>
      </c>
      <c r="G80" s="57">
        <f t="shared" si="6"/>
        <v>158.04</v>
      </c>
      <c r="I80">
        <f t="shared" si="7"/>
        <v>158.04</v>
      </c>
      <c r="J80" t="b">
        <f t="shared" si="8"/>
        <v>1</v>
      </c>
    </row>
    <row r="81" spans="1:10" x14ac:dyDescent="0.25">
      <c r="A81" s="112">
        <f>"2/24/2018"+COUNTIFS($B$17:B81,B81)</f>
        <v>43157</v>
      </c>
      <c r="B81" s="40" t="s">
        <v>385</v>
      </c>
      <c r="C81" s="40">
        <v>23630</v>
      </c>
      <c r="D81" s="57">
        <f t="shared" si="9"/>
        <v>370</v>
      </c>
      <c r="E81" s="57">
        <f t="shared" si="9"/>
        <v>15000</v>
      </c>
      <c r="F81" s="60">
        <f t="shared" si="9"/>
        <v>0.05</v>
      </c>
      <c r="G81" s="57">
        <f t="shared" si="6"/>
        <v>801.5</v>
      </c>
      <c r="I81">
        <f t="shared" si="7"/>
        <v>801.5</v>
      </c>
      <c r="J81" t="b">
        <f t="shared" si="8"/>
        <v>1</v>
      </c>
    </row>
    <row r="82" spans="1:10" x14ac:dyDescent="0.25">
      <c r="A82" s="112">
        <f>"2/24/2018"+COUNTIFS($B$17:B82,B82)</f>
        <v>43157</v>
      </c>
      <c r="B82" s="40" t="s">
        <v>386</v>
      </c>
      <c r="C82" s="40">
        <v>24397</v>
      </c>
      <c r="D82" s="57">
        <f t="shared" ref="D82:F113" si="10">VLOOKUP($C82,$G$8:$K$13,D$15)</f>
        <v>370</v>
      </c>
      <c r="E82" s="57">
        <f t="shared" si="10"/>
        <v>15000</v>
      </c>
      <c r="F82" s="60">
        <f t="shared" si="10"/>
        <v>0.05</v>
      </c>
      <c r="G82" s="57">
        <f t="shared" ref="G82:G145" si="11">D82+(C82-E82)*F82</f>
        <v>839.85</v>
      </c>
      <c r="I82">
        <f t="shared" ref="I82:I145" si="12">VLOOKUP(C82,$G$8:$K$13,5)+(C82-VLOOKUP(C82,$G$8:$K$13,4))*VLOOKUP(C82,$G$8:$K$13,3)</f>
        <v>839.85</v>
      </c>
      <c r="J82" t="b">
        <f t="shared" ref="J82:J145" si="13">I82=G82</f>
        <v>1</v>
      </c>
    </row>
    <row r="83" spans="1:10" x14ac:dyDescent="0.25">
      <c r="A83" s="112">
        <f>"2/24/2018"+COUNTIFS($B$17:B83,B83)</f>
        <v>43157</v>
      </c>
      <c r="B83" s="40" t="s">
        <v>387</v>
      </c>
      <c r="C83" s="40">
        <v>14189</v>
      </c>
      <c r="D83" s="57">
        <f t="shared" si="10"/>
        <v>130</v>
      </c>
      <c r="E83" s="57">
        <f t="shared" si="10"/>
        <v>9000</v>
      </c>
      <c r="F83" s="60">
        <f t="shared" si="10"/>
        <v>0.04</v>
      </c>
      <c r="G83" s="57">
        <f t="shared" si="11"/>
        <v>337.56</v>
      </c>
      <c r="I83">
        <f t="shared" si="12"/>
        <v>337.56</v>
      </c>
      <c r="J83" t="b">
        <f t="shared" si="13"/>
        <v>1</v>
      </c>
    </row>
    <row r="84" spans="1:10" x14ac:dyDescent="0.25">
      <c r="A84" s="112">
        <f>"2/24/2018"+COUNTIFS($B$17:B84,B84)</f>
        <v>43157</v>
      </c>
      <c r="B84" s="40" t="s">
        <v>388</v>
      </c>
      <c r="C84" s="40">
        <v>18111</v>
      </c>
      <c r="D84" s="57">
        <f t="shared" si="10"/>
        <v>370</v>
      </c>
      <c r="E84" s="57">
        <f t="shared" si="10"/>
        <v>15000</v>
      </c>
      <c r="F84" s="60">
        <f t="shared" si="10"/>
        <v>0.05</v>
      </c>
      <c r="G84" s="57">
        <f t="shared" si="11"/>
        <v>525.54999999999995</v>
      </c>
      <c r="I84">
        <f t="shared" si="12"/>
        <v>525.54999999999995</v>
      </c>
      <c r="J84" t="b">
        <f t="shared" si="13"/>
        <v>1</v>
      </c>
    </row>
    <row r="85" spans="1:10" x14ac:dyDescent="0.25">
      <c r="A85" s="112">
        <f>"2/24/2018"+COUNTIFS($B$17:B85,B85)</f>
        <v>43157</v>
      </c>
      <c r="B85" s="40" t="s">
        <v>389</v>
      </c>
      <c r="C85" s="40">
        <v>18777</v>
      </c>
      <c r="D85" s="57">
        <f t="shared" si="10"/>
        <v>370</v>
      </c>
      <c r="E85" s="57">
        <f t="shared" si="10"/>
        <v>15000</v>
      </c>
      <c r="F85" s="60">
        <f t="shared" si="10"/>
        <v>0.05</v>
      </c>
      <c r="G85" s="57">
        <f t="shared" si="11"/>
        <v>558.85</v>
      </c>
      <c r="I85">
        <f t="shared" si="12"/>
        <v>558.85</v>
      </c>
      <c r="J85" t="b">
        <f t="shared" si="13"/>
        <v>1</v>
      </c>
    </row>
    <row r="86" spans="1:10" x14ac:dyDescent="0.25">
      <c r="A86" s="112">
        <f>"2/24/2018"+COUNTIFS($B$17:B86,B86)</f>
        <v>43157</v>
      </c>
      <c r="B86" s="40" t="s">
        <v>390</v>
      </c>
      <c r="C86" s="40">
        <v>28814</v>
      </c>
      <c r="D86" s="57">
        <f t="shared" si="10"/>
        <v>870</v>
      </c>
      <c r="E86" s="57">
        <f t="shared" si="10"/>
        <v>25000</v>
      </c>
      <c r="F86" s="60">
        <f t="shared" si="10"/>
        <v>7.4999999999999997E-2</v>
      </c>
      <c r="G86" s="57">
        <f t="shared" si="11"/>
        <v>1156.05</v>
      </c>
      <c r="I86">
        <f t="shared" si="12"/>
        <v>1156.05</v>
      </c>
      <c r="J86" t="b">
        <f t="shared" si="13"/>
        <v>1</v>
      </c>
    </row>
    <row r="87" spans="1:10" x14ac:dyDescent="0.25">
      <c r="A87" s="112">
        <f>"2/24/2018"+COUNTIFS($B$17:B87,B87)</f>
        <v>43157</v>
      </c>
      <c r="B87" s="40" t="s">
        <v>391</v>
      </c>
      <c r="C87" s="40">
        <v>15000</v>
      </c>
      <c r="D87" s="57">
        <f t="shared" si="10"/>
        <v>130</v>
      </c>
      <c r="E87" s="57">
        <f t="shared" si="10"/>
        <v>9000</v>
      </c>
      <c r="F87" s="60">
        <f t="shared" si="10"/>
        <v>0.04</v>
      </c>
      <c r="G87" s="57">
        <f t="shared" si="11"/>
        <v>370</v>
      </c>
      <c r="I87">
        <f t="shared" si="12"/>
        <v>370</v>
      </c>
      <c r="J87" t="b">
        <f t="shared" si="13"/>
        <v>1</v>
      </c>
    </row>
    <row r="88" spans="1:10" x14ac:dyDescent="0.25">
      <c r="A88" s="112">
        <f>"2/24/2018"+COUNTIFS($B$17:B88,B88)</f>
        <v>43157</v>
      </c>
      <c r="B88" s="40" t="s">
        <v>392</v>
      </c>
      <c r="C88" s="40">
        <v>11817</v>
      </c>
      <c r="D88" s="57">
        <f t="shared" si="10"/>
        <v>130</v>
      </c>
      <c r="E88" s="57">
        <f t="shared" si="10"/>
        <v>9000</v>
      </c>
      <c r="F88" s="60">
        <f t="shared" si="10"/>
        <v>0.04</v>
      </c>
      <c r="G88" s="57">
        <f t="shared" si="11"/>
        <v>242.68</v>
      </c>
      <c r="I88">
        <f t="shared" si="12"/>
        <v>242.68</v>
      </c>
      <c r="J88" t="b">
        <f t="shared" si="13"/>
        <v>1</v>
      </c>
    </row>
    <row r="89" spans="1:10" x14ac:dyDescent="0.25">
      <c r="A89" s="112">
        <f>"2/24/2018"+COUNTIFS($B$17:B89,B89)</f>
        <v>43157</v>
      </c>
      <c r="B89" s="40" t="s">
        <v>393</v>
      </c>
      <c r="C89" s="40">
        <v>14345</v>
      </c>
      <c r="D89" s="57">
        <f t="shared" si="10"/>
        <v>130</v>
      </c>
      <c r="E89" s="57">
        <f t="shared" si="10"/>
        <v>9000</v>
      </c>
      <c r="F89" s="60">
        <f t="shared" si="10"/>
        <v>0.04</v>
      </c>
      <c r="G89" s="57">
        <f t="shared" si="11"/>
        <v>343.8</v>
      </c>
      <c r="I89">
        <f t="shared" si="12"/>
        <v>343.8</v>
      </c>
      <c r="J89" t="b">
        <f t="shared" si="13"/>
        <v>1</v>
      </c>
    </row>
    <row r="90" spans="1:10" x14ac:dyDescent="0.25">
      <c r="A90" s="112">
        <f>"2/24/2018"+COUNTIFS($B$17:B90,B90)</f>
        <v>43157</v>
      </c>
      <c r="B90" s="40" t="s">
        <v>394</v>
      </c>
      <c r="C90" s="40">
        <v>16289</v>
      </c>
      <c r="D90" s="57">
        <f t="shared" si="10"/>
        <v>370</v>
      </c>
      <c r="E90" s="57">
        <f t="shared" si="10"/>
        <v>15000</v>
      </c>
      <c r="F90" s="60">
        <f t="shared" si="10"/>
        <v>0.05</v>
      </c>
      <c r="G90" s="57">
        <f t="shared" si="11"/>
        <v>434.45</v>
      </c>
      <c r="I90">
        <f t="shared" si="12"/>
        <v>434.45</v>
      </c>
      <c r="J90" t="b">
        <f t="shared" si="13"/>
        <v>1</v>
      </c>
    </row>
    <row r="91" spans="1:10" x14ac:dyDescent="0.25">
      <c r="A91" s="112">
        <f>"2/24/2018"+COUNTIFS($B$17:B91,B91)</f>
        <v>43157</v>
      </c>
      <c r="B91" s="40" t="s">
        <v>395</v>
      </c>
      <c r="C91" s="40">
        <v>17435</v>
      </c>
      <c r="D91" s="57">
        <f t="shared" si="10"/>
        <v>370</v>
      </c>
      <c r="E91" s="57">
        <f t="shared" si="10"/>
        <v>15000</v>
      </c>
      <c r="F91" s="60">
        <f t="shared" si="10"/>
        <v>0.05</v>
      </c>
      <c r="G91" s="57">
        <f t="shared" si="11"/>
        <v>491.75</v>
      </c>
      <c r="I91">
        <f t="shared" si="12"/>
        <v>491.75</v>
      </c>
      <c r="J91" t="b">
        <f t="shared" si="13"/>
        <v>1</v>
      </c>
    </row>
    <row r="92" spans="1:10" x14ac:dyDescent="0.25">
      <c r="A92" s="112">
        <f>"2/24/2018"+COUNTIFS($B$17:B92,B92)</f>
        <v>43157</v>
      </c>
      <c r="B92" s="40" t="s">
        <v>396</v>
      </c>
      <c r="C92" s="40">
        <v>12725</v>
      </c>
      <c r="D92" s="57">
        <f t="shared" si="10"/>
        <v>130</v>
      </c>
      <c r="E92" s="57">
        <f t="shared" si="10"/>
        <v>9000</v>
      </c>
      <c r="F92" s="60">
        <f t="shared" si="10"/>
        <v>0.04</v>
      </c>
      <c r="G92" s="57">
        <f t="shared" si="11"/>
        <v>279</v>
      </c>
      <c r="I92">
        <f t="shared" si="12"/>
        <v>279</v>
      </c>
      <c r="J92" t="b">
        <f t="shared" si="13"/>
        <v>1</v>
      </c>
    </row>
    <row r="93" spans="1:10" x14ac:dyDescent="0.25">
      <c r="A93" s="112">
        <f>"2/24/2018"+COUNTIFS($B$17:B93,B93)</f>
        <v>43157</v>
      </c>
      <c r="B93" s="40" t="s">
        <v>397</v>
      </c>
      <c r="C93" s="40">
        <v>16157</v>
      </c>
      <c r="D93" s="57">
        <f t="shared" si="10"/>
        <v>370</v>
      </c>
      <c r="E93" s="57">
        <f t="shared" si="10"/>
        <v>15000</v>
      </c>
      <c r="F93" s="60">
        <f t="shared" si="10"/>
        <v>0.05</v>
      </c>
      <c r="G93" s="57">
        <f t="shared" si="11"/>
        <v>427.85</v>
      </c>
      <c r="I93">
        <f t="shared" si="12"/>
        <v>427.85</v>
      </c>
      <c r="J93" t="b">
        <f t="shared" si="13"/>
        <v>1</v>
      </c>
    </row>
    <row r="94" spans="1:10" x14ac:dyDescent="0.25">
      <c r="A94" s="112">
        <f>"2/24/2018"+COUNTIFS($B$17:B94,B94)</f>
        <v>43157</v>
      </c>
      <c r="B94" s="40" t="s">
        <v>398</v>
      </c>
      <c r="C94" s="40">
        <v>19661</v>
      </c>
      <c r="D94" s="57">
        <f t="shared" si="10"/>
        <v>370</v>
      </c>
      <c r="E94" s="57">
        <f t="shared" si="10"/>
        <v>15000</v>
      </c>
      <c r="F94" s="60">
        <f t="shared" si="10"/>
        <v>0.05</v>
      </c>
      <c r="G94" s="57">
        <f t="shared" si="11"/>
        <v>603.04999999999995</v>
      </c>
      <c r="I94">
        <f t="shared" si="12"/>
        <v>603.04999999999995</v>
      </c>
      <c r="J94" t="b">
        <f t="shared" si="13"/>
        <v>1</v>
      </c>
    </row>
    <row r="95" spans="1:10" x14ac:dyDescent="0.25">
      <c r="A95" s="112">
        <f>"2/24/2018"+COUNTIFS($B$17:B95,B95)</f>
        <v>43157</v>
      </c>
      <c r="B95" s="40" t="s">
        <v>399</v>
      </c>
      <c r="C95" s="40">
        <v>15822</v>
      </c>
      <c r="D95" s="57">
        <f t="shared" si="10"/>
        <v>370</v>
      </c>
      <c r="E95" s="57">
        <f t="shared" si="10"/>
        <v>15000</v>
      </c>
      <c r="F95" s="60">
        <f t="shared" si="10"/>
        <v>0.05</v>
      </c>
      <c r="G95" s="57">
        <f t="shared" si="11"/>
        <v>411.1</v>
      </c>
      <c r="I95">
        <f t="shared" si="12"/>
        <v>411.1</v>
      </c>
      <c r="J95" t="b">
        <f t="shared" si="13"/>
        <v>1</v>
      </c>
    </row>
    <row r="96" spans="1:10" x14ac:dyDescent="0.25">
      <c r="A96" s="112">
        <f>"2/24/2018"+COUNTIFS($B$17:B96,B96)</f>
        <v>43157</v>
      </c>
      <c r="B96" s="40" t="s">
        <v>400</v>
      </c>
      <c r="C96" s="40">
        <v>9922</v>
      </c>
      <c r="D96" s="57">
        <f t="shared" si="10"/>
        <v>130</v>
      </c>
      <c r="E96" s="57">
        <f t="shared" si="10"/>
        <v>9000</v>
      </c>
      <c r="F96" s="60">
        <f t="shared" si="10"/>
        <v>0.04</v>
      </c>
      <c r="G96" s="57">
        <f t="shared" si="11"/>
        <v>166.88</v>
      </c>
      <c r="I96">
        <f t="shared" si="12"/>
        <v>166.88</v>
      </c>
      <c r="J96" t="b">
        <f t="shared" si="13"/>
        <v>1</v>
      </c>
    </row>
    <row r="97" spans="1:10" x14ac:dyDescent="0.25">
      <c r="A97" s="112">
        <f>"2/24/2018"+COUNTIFS($B$17:B97,B97)</f>
        <v>43157</v>
      </c>
      <c r="B97" s="40" t="s">
        <v>401</v>
      </c>
      <c r="C97" s="40">
        <v>12664</v>
      </c>
      <c r="D97" s="57">
        <f t="shared" si="10"/>
        <v>130</v>
      </c>
      <c r="E97" s="57">
        <f t="shared" si="10"/>
        <v>9000</v>
      </c>
      <c r="F97" s="60">
        <f t="shared" si="10"/>
        <v>0.04</v>
      </c>
      <c r="G97" s="57">
        <f t="shared" si="11"/>
        <v>276.56</v>
      </c>
      <c r="I97">
        <f t="shared" si="12"/>
        <v>276.56</v>
      </c>
      <c r="J97" t="b">
        <f t="shared" si="13"/>
        <v>1</v>
      </c>
    </row>
    <row r="98" spans="1:10" x14ac:dyDescent="0.25">
      <c r="A98" s="112">
        <f>"2/24/2018"+COUNTIFS($B$17:B98,B98)</f>
        <v>43157</v>
      </c>
      <c r="B98" s="40" t="s">
        <v>402</v>
      </c>
      <c r="C98" s="40">
        <v>13896</v>
      </c>
      <c r="D98" s="57">
        <f t="shared" si="10"/>
        <v>130</v>
      </c>
      <c r="E98" s="57">
        <f t="shared" si="10"/>
        <v>9000</v>
      </c>
      <c r="F98" s="60">
        <f t="shared" si="10"/>
        <v>0.04</v>
      </c>
      <c r="G98" s="57">
        <f t="shared" si="11"/>
        <v>325.84000000000003</v>
      </c>
      <c r="I98">
        <f t="shared" si="12"/>
        <v>325.84000000000003</v>
      </c>
      <c r="J98" t="b">
        <f t="shared" si="13"/>
        <v>1</v>
      </c>
    </row>
    <row r="99" spans="1:10" x14ac:dyDescent="0.25">
      <c r="A99" s="112">
        <f>"2/24/2018"+COUNTIFS($B$17:B99,B99)</f>
        <v>43157</v>
      </c>
      <c r="B99" s="40" t="s">
        <v>403</v>
      </c>
      <c r="C99" s="40">
        <v>25501</v>
      </c>
      <c r="D99" s="57">
        <f t="shared" si="10"/>
        <v>870</v>
      </c>
      <c r="E99" s="57">
        <f t="shared" si="10"/>
        <v>25000</v>
      </c>
      <c r="F99" s="60">
        <f t="shared" si="10"/>
        <v>7.4999999999999997E-2</v>
      </c>
      <c r="G99" s="57">
        <f t="shared" si="11"/>
        <v>907.57500000000005</v>
      </c>
      <c r="I99">
        <f t="shared" si="12"/>
        <v>907.57500000000005</v>
      </c>
      <c r="J99" t="b">
        <f t="shared" si="13"/>
        <v>1</v>
      </c>
    </row>
    <row r="100" spans="1:10" x14ac:dyDescent="0.25">
      <c r="A100" s="112">
        <f>"2/24/2018"+COUNTIFS($B$17:B100,B100)</f>
        <v>43157</v>
      </c>
      <c r="B100" s="40" t="s">
        <v>404</v>
      </c>
      <c r="C100" s="40">
        <v>11527</v>
      </c>
      <c r="D100" s="57">
        <f t="shared" si="10"/>
        <v>130</v>
      </c>
      <c r="E100" s="57">
        <f t="shared" si="10"/>
        <v>9000</v>
      </c>
      <c r="F100" s="60">
        <f t="shared" si="10"/>
        <v>0.04</v>
      </c>
      <c r="G100" s="57">
        <f t="shared" si="11"/>
        <v>231.07999999999998</v>
      </c>
      <c r="I100">
        <f t="shared" si="12"/>
        <v>231.07999999999998</v>
      </c>
      <c r="J100" t="b">
        <f t="shared" si="13"/>
        <v>1</v>
      </c>
    </row>
    <row r="101" spans="1:10" x14ac:dyDescent="0.25">
      <c r="A101" s="112">
        <f>"2/24/2018"+COUNTIFS($B$17:B101,B101)</f>
        <v>43157</v>
      </c>
      <c r="B101" s="40" t="s">
        <v>405</v>
      </c>
      <c r="C101" s="40">
        <v>19238</v>
      </c>
      <c r="D101" s="57">
        <f t="shared" si="10"/>
        <v>370</v>
      </c>
      <c r="E101" s="57">
        <f t="shared" si="10"/>
        <v>15000</v>
      </c>
      <c r="F101" s="60">
        <f t="shared" si="10"/>
        <v>0.05</v>
      </c>
      <c r="G101" s="57">
        <f t="shared" si="11"/>
        <v>581.9</v>
      </c>
      <c r="I101">
        <f t="shared" si="12"/>
        <v>581.9</v>
      </c>
      <c r="J101" t="b">
        <f t="shared" si="13"/>
        <v>1</v>
      </c>
    </row>
    <row r="102" spans="1:10" x14ac:dyDescent="0.25">
      <c r="A102" s="112">
        <f>"2/24/2018"+COUNTIFS($B$17:B102,B102)</f>
        <v>43157</v>
      </c>
      <c r="B102" s="40" t="s">
        <v>406</v>
      </c>
      <c r="C102" s="40">
        <v>19440</v>
      </c>
      <c r="D102" s="57">
        <f t="shared" si="10"/>
        <v>370</v>
      </c>
      <c r="E102" s="57">
        <f t="shared" si="10"/>
        <v>15000</v>
      </c>
      <c r="F102" s="60">
        <f t="shared" si="10"/>
        <v>0.05</v>
      </c>
      <c r="G102" s="57">
        <f t="shared" si="11"/>
        <v>592</v>
      </c>
      <c r="I102">
        <f t="shared" si="12"/>
        <v>592</v>
      </c>
      <c r="J102" t="b">
        <f t="shared" si="13"/>
        <v>1</v>
      </c>
    </row>
    <row r="103" spans="1:10" x14ac:dyDescent="0.25">
      <c r="A103" s="112">
        <f>"2/24/2018"+COUNTIFS($B$17:B103,B103)</f>
        <v>43157</v>
      </c>
      <c r="B103" s="40" t="s">
        <v>407</v>
      </c>
      <c r="C103" s="40">
        <v>18231</v>
      </c>
      <c r="D103" s="57">
        <f t="shared" si="10"/>
        <v>370</v>
      </c>
      <c r="E103" s="57">
        <f t="shared" si="10"/>
        <v>15000</v>
      </c>
      <c r="F103" s="60">
        <f t="shared" si="10"/>
        <v>0.05</v>
      </c>
      <c r="G103" s="57">
        <f t="shared" si="11"/>
        <v>531.54999999999995</v>
      </c>
      <c r="I103">
        <f t="shared" si="12"/>
        <v>531.54999999999995</v>
      </c>
      <c r="J103" t="b">
        <f t="shared" si="13"/>
        <v>1</v>
      </c>
    </row>
    <row r="104" spans="1:10" x14ac:dyDescent="0.25">
      <c r="A104" s="112">
        <f>"2/24/2018"+COUNTIFS($B$17:B104,B104)</f>
        <v>43157</v>
      </c>
      <c r="B104" s="40" t="s">
        <v>408</v>
      </c>
      <c r="C104" s="40">
        <v>13234</v>
      </c>
      <c r="D104" s="57">
        <f t="shared" si="10"/>
        <v>130</v>
      </c>
      <c r="E104" s="57">
        <f t="shared" si="10"/>
        <v>9000</v>
      </c>
      <c r="F104" s="60">
        <f t="shared" si="10"/>
        <v>0.04</v>
      </c>
      <c r="G104" s="57">
        <f t="shared" si="11"/>
        <v>299.36</v>
      </c>
      <c r="I104">
        <f t="shared" si="12"/>
        <v>299.36</v>
      </c>
      <c r="J104" t="b">
        <f t="shared" si="13"/>
        <v>1</v>
      </c>
    </row>
    <row r="105" spans="1:10" x14ac:dyDescent="0.25">
      <c r="A105" s="112">
        <f>"2/24/2018"+COUNTIFS($B$17:B105,B105)</f>
        <v>43157</v>
      </c>
      <c r="B105" s="40" t="s">
        <v>409</v>
      </c>
      <c r="C105" s="40">
        <v>15429</v>
      </c>
      <c r="D105" s="57">
        <f t="shared" si="10"/>
        <v>370</v>
      </c>
      <c r="E105" s="57">
        <f t="shared" si="10"/>
        <v>15000</v>
      </c>
      <c r="F105" s="60">
        <f t="shared" si="10"/>
        <v>0.05</v>
      </c>
      <c r="G105" s="57">
        <f t="shared" si="11"/>
        <v>391.45</v>
      </c>
      <c r="I105">
        <f t="shared" si="12"/>
        <v>391.45</v>
      </c>
      <c r="J105" t="b">
        <f t="shared" si="13"/>
        <v>1</v>
      </c>
    </row>
    <row r="106" spans="1:10" x14ac:dyDescent="0.25">
      <c r="A106" s="112">
        <f>"2/24/2018"+COUNTIFS($B$17:B106,B106)</f>
        <v>43157</v>
      </c>
      <c r="B106" s="40" t="s">
        <v>410</v>
      </c>
      <c r="C106" s="40">
        <v>16801</v>
      </c>
      <c r="D106" s="57">
        <f t="shared" si="10"/>
        <v>370</v>
      </c>
      <c r="E106" s="57">
        <f t="shared" si="10"/>
        <v>15000</v>
      </c>
      <c r="F106" s="60">
        <f t="shared" si="10"/>
        <v>0.05</v>
      </c>
      <c r="G106" s="57">
        <f t="shared" si="11"/>
        <v>460.05</v>
      </c>
      <c r="I106">
        <f t="shared" si="12"/>
        <v>460.05</v>
      </c>
      <c r="J106" t="b">
        <f t="shared" si="13"/>
        <v>1</v>
      </c>
    </row>
    <row r="107" spans="1:10" x14ac:dyDescent="0.25">
      <c r="A107" s="112">
        <f>"2/24/2018"+COUNTIFS($B$17:B107,B107)</f>
        <v>43157</v>
      </c>
      <c r="B107" s="40" t="s">
        <v>411</v>
      </c>
      <c r="C107" s="40">
        <v>15414</v>
      </c>
      <c r="D107" s="57">
        <f t="shared" si="10"/>
        <v>370</v>
      </c>
      <c r="E107" s="57">
        <f t="shared" si="10"/>
        <v>15000</v>
      </c>
      <c r="F107" s="60">
        <f t="shared" si="10"/>
        <v>0.05</v>
      </c>
      <c r="G107" s="57">
        <f t="shared" si="11"/>
        <v>390.7</v>
      </c>
      <c r="I107">
        <f t="shared" si="12"/>
        <v>390.7</v>
      </c>
      <c r="J107" t="b">
        <f t="shared" si="13"/>
        <v>1</v>
      </c>
    </row>
    <row r="108" spans="1:10" x14ac:dyDescent="0.25">
      <c r="A108" s="112">
        <f>"2/24/2018"+COUNTIFS($B$17:B108,B108)</f>
        <v>43157</v>
      </c>
      <c r="B108" s="40" t="s">
        <v>412</v>
      </c>
      <c r="C108" s="40">
        <v>10556</v>
      </c>
      <c r="D108" s="57">
        <f t="shared" si="10"/>
        <v>130</v>
      </c>
      <c r="E108" s="57">
        <f t="shared" si="10"/>
        <v>9000</v>
      </c>
      <c r="F108" s="60">
        <f t="shared" si="10"/>
        <v>0.04</v>
      </c>
      <c r="G108" s="57">
        <f t="shared" si="11"/>
        <v>192.24</v>
      </c>
      <c r="I108">
        <f t="shared" si="12"/>
        <v>192.24</v>
      </c>
      <c r="J108" t="b">
        <f t="shared" si="13"/>
        <v>1</v>
      </c>
    </row>
    <row r="109" spans="1:10" x14ac:dyDescent="0.25">
      <c r="A109" s="112">
        <f>"2/24/2018"+COUNTIFS($B$17:B109,B109)</f>
        <v>43157</v>
      </c>
      <c r="B109" s="40" t="s">
        <v>413</v>
      </c>
      <c r="C109" s="40">
        <v>16853</v>
      </c>
      <c r="D109" s="57">
        <f t="shared" si="10"/>
        <v>370</v>
      </c>
      <c r="E109" s="57">
        <f t="shared" si="10"/>
        <v>15000</v>
      </c>
      <c r="F109" s="60">
        <f t="shared" si="10"/>
        <v>0.05</v>
      </c>
      <c r="G109" s="57">
        <f t="shared" si="11"/>
        <v>462.65</v>
      </c>
      <c r="I109">
        <f t="shared" si="12"/>
        <v>462.65</v>
      </c>
      <c r="J109" t="b">
        <f t="shared" si="13"/>
        <v>1</v>
      </c>
    </row>
    <row r="110" spans="1:10" x14ac:dyDescent="0.25">
      <c r="A110" s="112">
        <f>"2/24/2018"+COUNTIFS($B$17:B110,B110)</f>
        <v>43157</v>
      </c>
      <c r="B110" s="40" t="s">
        <v>414</v>
      </c>
      <c r="C110" s="40">
        <v>10214</v>
      </c>
      <c r="D110" s="57">
        <f t="shared" si="10"/>
        <v>130</v>
      </c>
      <c r="E110" s="57">
        <f t="shared" si="10"/>
        <v>9000</v>
      </c>
      <c r="F110" s="60">
        <f t="shared" si="10"/>
        <v>0.04</v>
      </c>
      <c r="G110" s="57">
        <f t="shared" si="11"/>
        <v>178.56</v>
      </c>
      <c r="I110">
        <f t="shared" si="12"/>
        <v>178.56</v>
      </c>
      <c r="J110" t="b">
        <f t="shared" si="13"/>
        <v>1</v>
      </c>
    </row>
    <row r="111" spans="1:10" x14ac:dyDescent="0.25">
      <c r="A111" s="112">
        <f>"2/24/2018"+COUNTIFS($B$17:B111,B111)</f>
        <v>43157</v>
      </c>
      <c r="B111" s="40" t="s">
        <v>415</v>
      </c>
      <c r="C111" s="40">
        <v>19773</v>
      </c>
      <c r="D111" s="57">
        <f t="shared" si="10"/>
        <v>370</v>
      </c>
      <c r="E111" s="57">
        <f t="shared" si="10"/>
        <v>15000</v>
      </c>
      <c r="F111" s="60">
        <f t="shared" si="10"/>
        <v>0.05</v>
      </c>
      <c r="G111" s="57">
        <f t="shared" si="11"/>
        <v>608.65</v>
      </c>
      <c r="I111">
        <f t="shared" si="12"/>
        <v>608.65</v>
      </c>
      <c r="J111" t="b">
        <f t="shared" si="13"/>
        <v>1</v>
      </c>
    </row>
    <row r="112" spans="1:10" x14ac:dyDescent="0.25">
      <c r="A112" s="112">
        <f>"2/24/2018"+COUNTIFS($B$17:B112,B112)</f>
        <v>43157</v>
      </c>
      <c r="B112" s="40" t="s">
        <v>416</v>
      </c>
      <c r="C112" s="40">
        <v>18665</v>
      </c>
      <c r="D112" s="57">
        <f t="shared" si="10"/>
        <v>370</v>
      </c>
      <c r="E112" s="57">
        <f t="shared" si="10"/>
        <v>15000</v>
      </c>
      <c r="F112" s="60">
        <f t="shared" si="10"/>
        <v>0.05</v>
      </c>
      <c r="G112" s="57">
        <f t="shared" si="11"/>
        <v>553.25</v>
      </c>
      <c r="I112">
        <f t="shared" si="12"/>
        <v>553.25</v>
      </c>
      <c r="J112" t="b">
        <f t="shared" si="13"/>
        <v>1</v>
      </c>
    </row>
    <row r="113" spans="1:10" x14ac:dyDescent="0.25">
      <c r="A113" s="112">
        <f>"2/24/2018"+COUNTIFS($B$17:B113,B113)</f>
        <v>43157</v>
      </c>
      <c r="B113" s="40" t="s">
        <v>417</v>
      </c>
      <c r="C113" s="40">
        <v>17904</v>
      </c>
      <c r="D113" s="57">
        <f t="shared" si="10"/>
        <v>370</v>
      </c>
      <c r="E113" s="57">
        <f t="shared" si="10"/>
        <v>15000</v>
      </c>
      <c r="F113" s="60">
        <f t="shared" si="10"/>
        <v>0.05</v>
      </c>
      <c r="G113" s="57">
        <f t="shared" si="11"/>
        <v>515.20000000000005</v>
      </c>
      <c r="I113">
        <f t="shared" si="12"/>
        <v>515.20000000000005</v>
      </c>
      <c r="J113" t="b">
        <f t="shared" si="13"/>
        <v>1</v>
      </c>
    </row>
    <row r="114" spans="1:10" x14ac:dyDescent="0.25">
      <c r="A114" s="112">
        <f>"2/24/2018"+COUNTIFS($B$17:B114,B114)</f>
        <v>43157</v>
      </c>
      <c r="B114" s="40" t="s">
        <v>418</v>
      </c>
      <c r="C114" s="40">
        <v>6672</v>
      </c>
      <c r="D114" s="57">
        <f t="shared" ref="D114:F145" si="14">VLOOKUP($C114,$G$8:$K$13,D$15)</f>
        <v>50</v>
      </c>
      <c r="E114" s="57">
        <f t="shared" si="14"/>
        <v>5000</v>
      </c>
      <c r="F114" s="60">
        <f t="shared" si="14"/>
        <v>1.4999999999999999E-2</v>
      </c>
      <c r="G114" s="57">
        <f t="shared" si="11"/>
        <v>75.08</v>
      </c>
      <c r="I114">
        <f t="shared" si="12"/>
        <v>75.08</v>
      </c>
      <c r="J114" t="b">
        <f t="shared" si="13"/>
        <v>1</v>
      </c>
    </row>
    <row r="115" spans="1:10" x14ac:dyDescent="0.25">
      <c r="A115" s="112">
        <f>"2/24/2018"+COUNTIFS($B$17:B115,B115)</f>
        <v>43157</v>
      </c>
      <c r="B115" s="40" t="s">
        <v>419</v>
      </c>
      <c r="C115" s="40">
        <v>10137</v>
      </c>
      <c r="D115" s="57">
        <f t="shared" si="14"/>
        <v>130</v>
      </c>
      <c r="E115" s="57">
        <f t="shared" si="14"/>
        <v>9000</v>
      </c>
      <c r="F115" s="60">
        <f t="shared" si="14"/>
        <v>0.04</v>
      </c>
      <c r="G115" s="57">
        <f t="shared" si="11"/>
        <v>175.48000000000002</v>
      </c>
      <c r="I115">
        <f t="shared" si="12"/>
        <v>175.48000000000002</v>
      </c>
      <c r="J115" t="b">
        <f t="shared" si="13"/>
        <v>1</v>
      </c>
    </row>
    <row r="116" spans="1:10" x14ac:dyDescent="0.25">
      <c r="A116" s="112">
        <f>"2/24/2018"+COUNTIFS($B$17:B116,B116)</f>
        <v>43157</v>
      </c>
      <c r="B116" s="40" t="s">
        <v>420</v>
      </c>
      <c r="C116" s="40">
        <v>12268</v>
      </c>
      <c r="D116" s="57">
        <f t="shared" si="14"/>
        <v>130</v>
      </c>
      <c r="E116" s="57">
        <f t="shared" si="14"/>
        <v>9000</v>
      </c>
      <c r="F116" s="60">
        <f t="shared" si="14"/>
        <v>0.04</v>
      </c>
      <c r="G116" s="57">
        <f t="shared" si="11"/>
        <v>260.72000000000003</v>
      </c>
      <c r="I116">
        <f t="shared" si="12"/>
        <v>260.72000000000003</v>
      </c>
      <c r="J116" t="b">
        <f t="shared" si="13"/>
        <v>1</v>
      </c>
    </row>
    <row r="117" spans="1:10" x14ac:dyDescent="0.25">
      <c r="A117" s="112">
        <f>"2/24/2018"+COUNTIFS($B$17:B117,B117)</f>
        <v>43158</v>
      </c>
      <c r="B117" s="40" t="s">
        <v>371</v>
      </c>
      <c r="C117" s="40">
        <v>10643</v>
      </c>
      <c r="D117" s="57">
        <f t="shared" si="14"/>
        <v>130</v>
      </c>
      <c r="E117" s="57">
        <f t="shared" si="14"/>
        <v>9000</v>
      </c>
      <c r="F117" s="60">
        <f t="shared" si="14"/>
        <v>0.04</v>
      </c>
      <c r="G117" s="57">
        <f t="shared" si="11"/>
        <v>195.72</v>
      </c>
      <c r="I117">
        <f t="shared" si="12"/>
        <v>195.72</v>
      </c>
      <c r="J117" t="b">
        <f t="shared" si="13"/>
        <v>1</v>
      </c>
    </row>
    <row r="118" spans="1:10" x14ac:dyDescent="0.25">
      <c r="A118" s="112">
        <f>"2/24/2018"+COUNTIFS($B$17:B118,B118)</f>
        <v>43158</v>
      </c>
      <c r="B118" s="40" t="s">
        <v>372</v>
      </c>
      <c r="C118" s="40">
        <v>16306</v>
      </c>
      <c r="D118" s="57">
        <f t="shared" si="14"/>
        <v>370</v>
      </c>
      <c r="E118" s="57">
        <f t="shared" si="14"/>
        <v>15000</v>
      </c>
      <c r="F118" s="60">
        <f t="shared" si="14"/>
        <v>0.05</v>
      </c>
      <c r="G118" s="57">
        <f t="shared" si="11"/>
        <v>435.3</v>
      </c>
      <c r="I118">
        <f t="shared" si="12"/>
        <v>435.3</v>
      </c>
      <c r="J118" t="b">
        <f t="shared" si="13"/>
        <v>1</v>
      </c>
    </row>
    <row r="119" spans="1:10" x14ac:dyDescent="0.25">
      <c r="A119" s="112">
        <f>"2/24/2018"+COUNTIFS($B$17:B119,B119)</f>
        <v>43158</v>
      </c>
      <c r="B119" s="40" t="s">
        <v>373</v>
      </c>
      <c r="C119" s="40">
        <v>11643</v>
      </c>
      <c r="D119" s="57">
        <f t="shared" si="14"/>
        <v>130</v>
      </c>
      <c r="E119" s="57">
        <f t="shared" si="14"/>
        <v>9000</v>
      </c>
      <c r="F119" s="60">
        <f t="shared" si="14"/>
        <v>0.04</v>
      </c>
      <c r="G119" s="57">
        <f t="shared" si="11"/>
        <v>235.72</v>
      </c>
      <c r="I119">
        <f t="shared" si="12"/>
        <v>235.72</v>
      </c>
      <c r="J119" t="b">
        <f t="shared" si="13"/>
        <v>1</v>
      </c>
    </row>
    <row r="120" spans="1:10" x14ac:dyDescent="0.25">
      <c r="A120" s="112">
        <f>"2/24/2018"+COUNTIFS($B$17:B120,B120)</f>
        <v>43158</v>
      </c>
      <c r="B120" s="40" t="s">
        <v>374</v>
      </c>
      <c r="C120" s="40">
        <v>15301</v>
      </c>
      <c r="D120" s="57">
        <f t="shared" si="14"/>
        <v>370</v>
      </c>
      <c r="E120" s="57">
        <f t="shared" si="14"/>
        <v>15000</v>
      </c>
      <c r="F120" s="60">
        <f t="shared" si="14"/>
        <v>0.05</v>
      </c>
      <c r="G120" s="57">
        <f t="shared" si="11"/>
        <v>385.05</v>
      </c>
      <c r="I120">
        <f t="shared" si="12"/>
        <v>385.05</v>
      </c>
      <c r="J120" t="b">
        <f t="shared" si="13"/>
        <v>1</v>
      </c>
    </row>
    <row r="121" spans="1:10" x14ac:dyDescent="0.25">
      <c r="A121" s="112">
        <f>"2/24/2018"+COUNTIFS($B$17:B121,B121)</f>
        <v>43158</v>
      </c>
      <c r="B121" s="40" t="s">
        <v>375</v>
      </c>
      <c r="C121" s="40">
        <v>21106</v>
      </c>
      <c r="D121" s="57">
        <f t="shared" si="14"/>
        <v>370</v>
      </c>
      <c r="E121" s="57">
        <f t="shared" si="14"/>
        <v>15000</v>
      </c>
      <c r="F121" s="60">
        <f t="shared" si="14"/>
        <v>0.05</v>
      </c>
      <c r="G121" s="57">
        <f t="shared" si="11"/>
        <v>675.3</v>
      </c>
      <c r="I121">
        <f t="shared" si="12"/>
        <v>675.3</v>
      </c>
      <c r="J121" t="b">
        <f t="shared" si="13"/>
        <v>1</v>
      </c>
    </row>
    <row r="122" spans="1:10" x14ac:dyDescent="0.25">
      <c r="A122" s="112">
        <f>"2/24/2018"+COUNTIFS($B$17:B122,B122)</f>
        <v>43158</v>
      </c>
      <c r="B122" s="40" t="s">
        <v>376</v>
      </c>
      <c r="C122" s="40">
        <v>10601</v>
      </c>
      <c r="D122" s="57">
        <f t="shared" si="14"/>
        <v>130</v>
      </c>
      <c r="E122" s="57">
        <f t="shared" si="14"/>
        <v>9000</v>
      </c>
      <c r="F122" s="60">
        <f t="shared" si="14"/>
        <v>0.04</v>
      </c>
      <c r="G122" s="57">
        <f t="shared" si="11"/>
        <v>194.04000000000002</v>
      </c>
      <c r="I122">
        <f t="shared" si="12"/>
        <v>194.04000000000002</v>
      </c>
      <c r="J122" t="b">
        <f t="shared" si="13"/>
        <v>1</v>
      </c>
    </row>
    <row r="123" spans="1:10" x14ac:dyDescent="0.25">
      <c r="A123" s="112">
        <f>"2/24/2018"+COUNTIFS($B$17:B123,B123)</f>
        <v>43158</v>
      </c>
      <c r="B123" s="40" t="s">
        <v>377</v>
      </c>
      <c r="C123" s="40">
        <v>32108</v>
      </c>
      <c r="D123" s="57">
        <f t="shared" si="14"/>
        <v>870</v>
      </c>
      <c r="E123" s="57">
        <f t="shared" si="14"/>
        <v>25000</v>
      </c>
      <c r="F123" s="60">
        <f t="shared" si="14"/>
        <v>7.4999999999999997E-2</v>
      </c>
      <c r="G123" s="57">
        <f t="shared" si="11"/>
        <v>1403.1</v>
      </c>
      <c r="I123">
        <f t="shared" si="12"/>
        <v>1403.1</v>
      </c>
      <c r="J123" t="b">
        <f t="shared" si="13"/>
        <v>1</v>
      </c>
    </row>
    <row r="124" spans="1:10" x14ac:dyDescent="0.25">
      <c r="A124" s="112">
        <f>"2/24/2018"+COUNTIFS($B$17:B124,B124)</f>
        <v>43158</v>
      </c>
      <c r="B124" s="40" t="s">
        <v>378</v>
      </c>
      <c r="C124" s="40">
        <v>17218</v>
      </c>
      <c r="D124" s="57">
        <f t="shared" si="14"/>
        <v>370</v>
      </c>
      <c r="E124" s="57">
        <f t="shared" si="14"/>
        <v>15000</v>
      </c>
      <c r="F124" s="60">
        <f t="shared" si="14"/>
        <v>0.05</v>
      </c>
      <c r="G124" s="57">
        <f t="shared" si="11"/>
        <v>480.9</v>
      </c>
      <c r="I124">
        <f t="shared" si="12"/>
        <v>480.9</v>
      </c>
      <c r="J124" t="b">
        <f t="shared" si="13"/>
        <v>1</v>
      </c>
    </row>
    <row r="125" spans="1:10" x14ac:dyDescent="0.25">
      <c r="A125" s="112">
        <f>"2/24/2018"+COUNTIFS($B$17:B125,B125)</f>
        <v>43158</v>
      </c>
      <c r="B125" s="40" t="s">
        <v>379</v>
      </c>
      <c r="C125" s="40">
        <v>32689</v>
      </c>
      <c r="D125" s="57">
        <f t="shared" si="14"/>
        <v>870</v>
      </c>
      <c r="E125" s="57">
        <f t="shared" si="14"/>
        <v>25000</v>
      </c>
      <c r="F125" s="60">
        <f t="shared" si="14"/>
        <v>7.4999999999999997E-2</v>
      </c>
      <c r="G125" s="57">
        <f t="shared" si="11"/>
        <v>1446.675</v>
      </c>
      <c r="I125">
        <f t="shared" si="12"/>
        <v>1446.675</v>
      </c>
      <c r="J125" t="b">
        <f t="shared" si="13"/>
        <v>1</v>
      </c>
    </row>
    <row r="126" spans="1:10" x14ac:dyDescent="0.25">
      <c r="A126" s="112">
        <f>"2/24/2018"+COUNTIFS($B$17:B126,B126)</f>
        <v>43158</v>
      </c>
      <c r="B126" s="40" t="s">
        <v>380</v>
      </c>
      <c r="C126" s="40">
        <v>13400</v>
      </c>
      <c r="D126" s="57">
        <f t="shared" si="14"/>
        <v>130</v>
      </c>
      <c r="E126" s="57">
        <f t="shared" si="14"/>
        <v>9000</v>
      </c>
      <c r="F126" s="60">
        <f t="shared" si="14"/>
        <v>0.04</v>
      </c>
      <c r="G126" s="57">
        <f t="shared" si="11"/>
        <v>306</v>
      </c>
      <c r="I126">
        <f t="shared" si="12"/>
        <v>306</v>
      </c>
      <c r="J126" t="b">
        <f t="shared" si="13"/>
        <v>1</v>
      </c>
    </row>
    <row r="127" spans="1:10" x14ac:dyDescent="0.25">
      <c r="A127" s="112">
        <f>"2/24/2018"+COUNTIFS($B$17:B127,B127)</f>
        <v>43158</v>
      </c>
      <c r="B127" s="40" t="s">
        <v>381</v>
      </c>
      <c r="C127" s="40">
        <v>11546</v>
      </c>
      <c r="D127" s="57">
        <f t="shared" si="14"/>
        <v>130</v>
      </c>
      <c r="E127" s="57">
        <f t="shared" si="14"/>
        <v>9000</v>
      </c>
      <c r="F127" s="60">
        <f t="shared" si="14"/>
        <v>0.04</v>
      </c>
      <c r="G127" s="57">
        <f t="shared" si="11"/>
        <v>231.84</v>
      </c>
      <c r="I127">
        <f t="shared" si="12"/>
        <v>231.84</v>
      </c>
      <c r="J127" t="b">
        <f t="shared" si="13"/>
        <v>1</v>
      </c>
    </row>
    <row r="128" spans="1:10" x14ac:dyDescent="0.25">
      <c r="A128" s="112">
        <f>"2/24/2018"+COUNTIFS($B$17:B128,B128)</f>
        <v>43158</v>
      </c>
      <c r="B128" s="40" t="s">
        <v>382</v>
      </c>
      <c r="C128" s="40">
        <v>24739</v>
      </c>
      <c r="D128" s="57">
        <f t="shared" si="14"/>
        <v>370</v>
      </c>
      <c r="E128" s="57">
        <f t="shared" si="14"/>
        <v>15000</v>
      </c>
      <c r="F128" s="60">
        <f t="shared" si="14"/>
        <v>0.05</v>
      </c>
      <c r="G128" s="57">
        <f t="shared" si="11"/>
        <v>856.95</v>
      </c>
      <c r="I128">
        <f t="shared" si="12"/>
        <v>856.95</v>
      </c>
      <c r="J128" t="b">
        <f t="shared" si="13"/>
        <v>1</v>
      </c>
    </row>
    <row r="129" spans="1:10" x14ac:dyDescent="0.25">
      <c r="A129" s="112">
        <f>"2/24/2018"+COUNTIFS($B$17:B129,B129)</f>
        <v>43158</v>
      </c>
      <c r="B129" s="40" t="s">
        <v>383</v>
      </c>
      <c r="C129" s="40">
        <v>13125</v>
      </c>
      <c r="D129" s="57">
        <f t="shared" si="14"/>
        <v>130</v>
      </c>
      <c r="E129" s="57">
        <f t="shared" si="14"/>
        <v>9000</v>
      </c>
      <c r="F129" s="60">
        <f t="shared" si="14"/>
        <v>0.04</v>
      </c>
      <c r="G129" s="57">
        <f t="shared" si="11"/>
        <v>295</v>
      </c>
      <c r="I129">
        <f t="shared" si="12"/>
        <v>295</v>
      </c>
      <c r="J129" t="b">
        <f t="shared" si="13"/>
        <v>1</v>
      </c>
    </row>
    <row r="130" spans="1:10" x14ac:dyDescent="0.25">
      <c r="A130" s="112">
        <f>"2/24/2018"+COUNTIFS($B$17:B130,B130)</f>
        <v>43158</v>
      </c>
      <c r="B130" s="40" t="s">
        <v>384</v>
      </c>
      <c r="C130" s="40">
        <v>15415</v>
      </c>
      <c r="D130" s="57">
        <f t="shared" si="14"/>
        <v>370</v>
      </c>
      <c r="E130" s="57">
        <f t="shared" si="14"/>
        <v>15000</v>
      </c>
      <c r="F130" s="60">
        <f t="shared" si="14"/>
        <v>0.05</v>
      </c>
      <c r="G130" s="57">
        <f t="shared" si="11"/>
        <v>390.75</v>
      </c>
      <c r="I130">
        <f t="shared" si="12"/>
        <v>390.75</v>
      </c>
      <c r="J130" t="b">
        <f t="shared" si="13"/>
        <v>1</v>
      </c>
    </row>
    <row r="131" spans="1:10" x14ac:dyDescent="0.25">
      <c r="A131" s="112">
        <f>"2/24/2018"+COUNTIFS($B$17:B131,B131)</f>
        <v>43158</v>
      </c>
      <c r="B131" s="40" t="s">
        <v>385</v>
      </c>
      <c r="C131" s="40">
        <v>10228</v>
      </c>
      <c r="D131" s="57">
        <f t="shared" si="14"/>
        <v>130</v>
      </c>
      <c r="E131" s="57">
        <f t="shared" si="14"/>
        <v>9000</v>
      </c>
      <c r="F131" s="60">
        <f t="shared" si="14"/>
        <v>0.04</v>
      </c>
      <c r="G131" s="57">
        <f t="shared" si="11"/>
        <v>179.12</v>
      </c>
      <c r="I131">
        <f t="shared" si="12"/>
        <v>179.12</v>
      </c>
      <c r="J131" t="b">
        <f t="shared" si="13"/>
        <v>1</v>
      </c>
    </row>
    <row r="132" spans="1:10" x14ac:dyDescent="0.25">
      <c r="A132" s="112">
        <f>"2/24/2018"+COUNTIFS($B$17:B132,B132)</f>
        <v>43158</v>
      </c>
      <c r="B132" s="40" t="s">
        <v>386</v>
      </c>
      <c r="C132" s="40">
        <v>9868</v>
      </c>
      <c r="D132" s="57">
        <f t="shared" si="14"/>
        <v>130</v>
      </c>
      <c r="E132" s="57">
        <f t="shared" si="14"/>
        <v>9000</v>
      </c>
      <c r="F132" s="60">
        <f t="shared" si="14"/>
        <v>0.04</v>
      </c>
      <c r="G132" s="57">
        <f t="shared" si="11"/>
        <v>164.72</v>
      </c>
      <c r="I132">
        <f t="shared" si="12"/>
        <v>164.72</v>
      </c>
      <c r="J132" t="b">
        <f t="shared" si="13"/>
        <v>1</v>
      </c>
    </row>
    <row r="133" spans="1:10" x14ac:dyDescent="0.25">
      <c r="A133" s="112">
        <f>"2/24/2018"+COUNTIFS($B$17:B133,B133)</f>
        <v>43158</v>
      </c>
      <c r="B133" s="40" t="s">
        <v>387</v>
      </c>
      <c r="C133" s="40">
        <v>9152</v>
      </c>
      <c r="D133" s="57">
        <f t="shared" si="14"/>
        <v>130</v>
      </c>
      <c r="E133" s="57">
        <f t="shared" si="14"/>
        <v>9000</v>
      </c>
      <c r="F133" s="60">
        <f t="shared" si="14"/>
        <v>0.04</v>
      </c>
      <c r="G133" s="57">
        <f t="shared" si="11"/>
        <v>136.08000000000001</v>
      </c>
      <c r="I133">
        <f t="shared" si="12"/>
        <v>136.08000000000001</v>
      </c>
      <c r="J133" t="b">
        <f t="shared" si="13"/>
        <v>1</v>
      </c>
    </row>
    <row r="134" spans="1:10" x14ac:dyDescent="0.25">
      <c r="A134" s="112">
        <f>"2/24/2018"+COUNTIFS($B$17:B134,B134)</f>
        <v>43158</v>
      </c>
      <c r="B134" s="40" t="s">
        <v>388</v>
      </c>
      <c r="C134" s="40">
        <v>13569</v>
      </c>
      <c r="D134" s="57">
        <f t="shared" si="14"/>
        <v>130</v>
      </c>
      <c r="E134" s="57">
        <f t="shared" si="14"/>
        <v>9000</v>
      </c>
      <c r="F134" s="60">
        <f t="shared" si="14"/>
        <v>0.04</v>
      </c>
      <c r="G134" s="57">
        <f t="shared" si="11"/>
        <v>312.76</v>
      </c>
      <c r="I134">
        <f t="shared" si="12"/>
        <v>312.76</v>
      </c>
      <c r="J134" t="b">
        <f t="shared" si="13"/>
        <v>1</v>
      </c>
    </row>
    <row r="135" spans="1:10" x14ac:dyDescent="0.25">
      <c r="A135" s="112">
        <f>"2/24/2018"+COUNTIFS($B$17:B135,B135)</f>
        <v>43158</v>
      </c>
      <c r="B135" s="40" t="s">
        <v>389</v>
      </c>
      <c r="C135" s="40">
        <v>13795</v>
      </c>
      <c r="D135" s="57">
        <f t="shared" si="14"/>
        <v>130</v>
      </c>
      <c r="E135" s="57">
        <f t="shared" si="14"/>
        <v>9000</v>
      </c>
      <c r="F135" s="60">
        <f t="shared" si="14"/>
        <v>0.04</v>
      </c>
      <c r="G135" s="57">
        <f t="shared" si="11"/>
        <v>321.8</v>
      </c>
      <c r="I135">
        <f t="shared" si="12"/>
        <v>321.8</v>
      </c>
      <c r="J135" t="b">
        <f t="shared" si="13"/>
        <v>1</v>
      </c>
    </row>
    <row r="136" spans="1:10" x14ac:dyDescent="0.25">
      <c r="A136" s="112">
        <f>"2/24/2018"+COUNTIFS($B$17:B136,B136)</f>
        <v>43158</v>
      </c>
      <c r="B136" s="40" t="s">
        <v>390</v>
      </c>
      <c r="C136" s="40">
        <v>17344</v>
      </c>
      <c r="D136" s="57">
        <f t="shared" si="14"/>
        <v>370</v>
      </c>
      <c r="E136" s="57">
        <f t="shared" si="14"/>
        <v>15000</v>
      </c>
      <c r="F136" s="60">
        <f t="shared" si="14"/>
        <v>0.05</v>
      </c>
      <c r="G136" s="57">
        <f t="shared" si="11"/>
        <v>487.2</v>
      </c>
      <c r="I136">
        <f t="shared" si="12"/>
        <v>487.2</v>
      </c>
      <c r="J136" t="b">
        <f t="shared" si="13"/>
        <v>1</v>
      </c>
    </row>
    <row r="137" spans="1:10" x14ac:dyDescent="0.25">
      <c r="A137" s="112">
        <f>"2/24/2018"+COUNTIFS($B$17:B137,B137)</f>
        <v>43158</v>
      </c>
      <c r="B137" s="40" t="s">
        <v>391</v>
      </c>
      <c r="C137" s="40">
        <v>15531</v>
      </c>
      <c r="D137" s="57">
        <f t="shared" si="14"/>
        <v>370</v>
      </c>
      <c r="E137" s="57">
        <f t="shared" si="14"/>
        <v>15000</v>
      </c>
      <c r="F137" s="60">
        <f t="shared" si="14"/>
        <v>0.05</v>
      </c>
      <c r="G137" s="57">
        <f t="shared" si="11"/>
        <v>396.55</v>
      </c>
      <c r="I137">
        <f t="shared" si="12"/>
        <v>396.55</v>
      </c>
      <c r="J137" t="b">
        <f t="shared" si="13"/>
        <v>1</v>
      </c>
    </row>
    <row r="138" spans="1:10" x14ac:dyDescent="0.25">
      <c r="A138" s="112">
        <f>"2/24/2018"+COUNTIFS($B$17:B138,B138)</f>
        <v>43158</v>
      </c>
      <c r="B138" s="40" t="s">
        <v>392</v>
      </c>
      <c r="C138" s="40">
        <v>22885</v>
      </c>
      <c r="D138" s="57">
        <f t="shared" si="14"/>
        <v>370</v>
      </c>
      <c r="E138" s="57">
        <f t="shared" si="14"/>
        <v>15000</v>
      </c>
      <c r="F138" s="60">
        <f t="shared" si="14"/>
        <v>0.05</v>
      </c>
      <c r="G138" s="57">
        <f t="shared" si="11"/>
        <v>764.25</v>
      </c>
      <c r="I138">
        <f t="shared" si="12"/>
        <v>764.25</v>
      </c>
      <c r="J138" t="b">
        <f t="shared" si="13"/>
        <v>1</v>
      </c>
    </row>
    <row r="139" spans="1:10" x14ac:dyDescent="0.25">
      <c r="A139" s="112">
        <f>"2/24/2018"+COUNTIFS($B$17:B139,B139)</f>
        <v>43158</v>
      </c>
      <c r="B139" s="40" t="s">
        <v>393</v>
      </c>
      <c r="C139" s="40">
        <v>11777</v>
      </c>
      <c r="D139" s="57">
        <f t="shared" si="14"/>
        <v>130</v>
      </c>
      <c r="E139" s="57">
        <f t="shared" si="14"/>
        <v>9000</v>
      </c>
      <c r="F139" s="60">
        <f t="shared" si="14"/>
        <v>0.04</v>
      </c>
      <c r="G139" s="57">
        <f t="shared" si="11"/>
        <v>241.07999999999998</v>
      </c>
      <c r="I139">
        <f t="shared" si="12"/>
        <v>241.07999999999998</v>
      </c>
      <c r="J139" t="b">
        <f t="shared" si="13"/>
        <v>1</v>
      </c>
    </row>
    <row r="140" spans="1:10" x14ac:dyDescent="0.25">
      <c r="A140" s="112">
        <f>"2/24/2018"+COUNTIFS($B$17:B140,B140)</f>
        <v>43158</v>
      </c>
      <c r="B140" s="40" t="s">
        <v>394</v>
      </c>
      <c r="C140" s="40">
        <v>12869</v>
      </c>
      <c r="D140" s="57">
        <f t="shared" si="14"/>
        <v>130</v>
      </c>
      <c r="E140" s="57">
        <f t="shared" si="14"/>
        <v>9000</v>
      </c>
      <c r="F140" s="60">
        <f t="shared" si="14"/>
        <v>0.04</v>
      </c>
      <c r="G140" s="57">
        <f t="shared" si="11"/>
        <v>284.76</v>
      </c>
      <c r="I140">
        <f t="shared" si="12"/>
        <v>284.76</v>
      </c>
      <c r="J140" t="b">
        <f t="shared" si="13"/>
        <v>1</v>
      </c>
    </row>
    <row r="141" spans="1:10" x14ac:dyDescent="0.25">
      <c r="A141" s="112">
        <f>"2/24/2018"+COUNTIFS($B$17:B141,B141)</f>
        <v>43158</v>
      </c>
      <c r="B141" s="40" t="s">
        <v>395</v>
      </c>
      <c r="C141" s="40">
        <v>8633</v>
      </c>
      <c r="D141" s="57">
        <f t="shared" si="14"/>
        <v>80</v>
      </c>
      <c r="E141" s="57">
        <f t="shared" si="14"/>
        <v>7000</v>
      </c>
      <c r="F141" s="60">
        <f t="shared" si="14"/>
        <v>2.5000000000000001E-2</v>
      </c>
      <c r="G141" s="57">
        <f t="shared" si="11"/>
        <v>120.825</v>
      </c>
      <c r="I141">
        <f t="shared" si="12"/>
        <v>120.825</v>
      </c>
      <c r="J141" t="b">
        <f t="shared" si="13"/>
        <v>1</v>
      </c>
    </row>
    <row r="142" spans="1:10" x14ac:dyDescent="0.25">
      <c r="A142" s="112">
        <f>"2/24/2018"+COUNTIFS($B$17:B142,B142)</f>
        <v>43158</v>
      </c>
      <c r="B142" s="40" t="s">
        <v>396</v>
      </c>
      <c r="C142" s="40">
        <v>15454</v>
      </c>
      <c r="D142" s="57">
        <f t="shared" si="14"/>
        <v>370</v>
      </c>
      <c r="E142" s="57">
        <f t="shared" si="14"/>
        <v>15000</v>
      </c>
      <c r="F142" s="60">
        <f t="shared" si="14"/>
        <v>0.05</v>
      </c>
      <c r="G142" s="57">
        <f t="shared" si="11"/>
        <v>392.7</v>
      </c>
      <c r="I142">
        <f t="shared" si="12"/>
        <v>392.7</v>
      </c>
      <c r="J142" t="b">
        <f t="shared" si="13"/>
        <v>1</v>
      </c>
    </row>
    <row r="143" spans="1:10" x14ac:dyDescent="0.25">
      <c r="A143" s="112">
        <f>"2/24/2018"+COUNTIFS($B$17:B143,B143)</f>
        <v>43158</v>
      </c>
      <c r="B143" s="40" t="s">
        <v>397</v>
      </c>
      <c r="C143" s="40">
        <v>10220</v>
      </c>
      <c r="D143" s="57">
        <f t="shared" si="14"/>
        <v>130</v>
      </c>
      <c r="E143" s="57">
        <f t="shared" si="14"/>
        <v>9000</v>
      </c>
      <c r="F143" s="60">
        <f t="shared" si="14"/>
        <v>0.04</v>
      </c>
      <c r="G143" s="57">
        <f t="shared" si="11"/>
        <v>178.8</v>
      </c>
      <c r="I143">
        <f t="shared" si="12"/>
        <v>178.8</v>
      </c>
      <c r="J143" t="b">
        <f t="shared" si="13"/>
        <v>1</v>
      </c>
    </row>
    <row r="144" spans="1:10" x14ac:dyDescent="0.25">
      <c r="A144" s="112">
        <f>"2/24/2018"+COUNTIFS($B$17:B144,B144)</f>
        <v>43158</v>
      </c>
      <c r="B144" s="40" t="s">
        <v>398</v>
      </c>
      <c r="C144" s="40">
        <v>33963</v>
      </c>
      <c r="D144" s="57">
        <f t="shared" si="14"/>
        <v>870</v>
      </c>
      <c r="E144" s="57">
        <f t="shared" si="14"/>
        <v>25000</v>
      </c>
      <c r="F144" s="60">
        <f t="shared" si="14"/>
        <v>7.4999999999999997E-2</v>
      </c>
      <c r="G144" s="57">
        <f t="shared" si="11"/>
        <v>1542.2249999999999</v>
      </c>
      <c r="I144">
        <f t="shared" si="12"/>
        <v>1542.2249999999999</v>
      </c>
      <c r="J144" t="b">
        <f t="shared" si="13"/>
        <v>1</v>
      </c>
    </row>
    <row r="145" spans="1:10" x14ac:dyDescent="0.25">
      <c r="A145" s="112">
        <f>"2/24/2018"+COUNTIFS($B$17:B145,B145)</f>
        <v>43158</v>
      </c>
      <c r="B145" s="40" t="s">
        <v>399</v>
      </c>
      <c r="C145" s="40">
        <v>19628</v>
      </c>
      <c r="D145" s="57">
        <f t="shared" si="14"/>
        <v>370</v>
      </c>
      <c r="E145" s="57">
        <f t="shared" si="14"/>
        <v>15000</v>
      </c>
      <c r="F145" s="60">
        <f t="shared" si="14"/>
        <v>0.05</v>
      </c>
      <c r="G145" s="57">
        <f t="shared" si="11"/>
        <v>601.4</v>
      </c>
      <c r="I145">
        <f t="shared" si="12"/>
        <v>601.4</v>
      </c>
      <c r="J145" t="b">
        <f t="shared" si="13"/>
        <v>1</v>
      </c>
    </row>
    <row r="146" spans="1:10" x14ac:dyDescent="0.25">
      <c r="A146" s="112">
        <f>"2/24/2018"+COUNTIFS($B$17:B146,B146)</f>
        <v>43158</v>
      </c>
      <c r="B146" s="40" t="s">
        <v>400</v>
      </c>
      <c r="C146" s="40">
        <v>18465</v>
      </c>
      <c r="D146" s="57">
        <f t="shared" ref="D146:F177" si="15">VLOOKUP($C146,$G$8:$K$13,D$15)</f>
        <v>370</v>
      </c>
      <c r="E146" s="57">
        <f t="shared" si="15"/>
        <v>15000</v>
      </c>
      <c r="F146" s="60">
        <f t="shared" si="15"/>
        <v>0.05</v>
      </c>
      <c r="G146" s="57">
        <f t="shared" ref="G146:G209" si="16">D146+(C146-E146)*F146</f>
        <v>543.25</v>
      </c>
      <c r="I146">
        <f t="shared" ref="I146:I209" si="17">VLOOKUP(C146,$G$8:$K$13,5)+(C146-VLOOKUP(C146,$G$8:$K$13,4))*VLOOKUP(C146,$G$8:$K$13,3)</f>
        <v>543.25</v>
      </c>
      <c r="J146" t="b">
        <f t="shared" ref="J146:J209" si="18">I146=G146</f>
        <v>1</v>
      </c>
    </row>
    <row r="147" spans="1:10" x14ac:dyDescent="0.25">
      <c r="A147" s="112">
        <f>"2/24/2018"+COUNTIFS($B$17:B147,B147)</f>
        <v>43158</v>
      </c>
      <c r="B147" s="40" t="s">
        <v>401</v>
      </c>
      <c r="C147" s="40">
        <v>14284</v>
      </c>
      <c r="D147" s="57">
        <f t="shared" si="15"/>
        <v>130</v>
      </c>
      <c r="E147" s="57">
        <f t="shared" si="15"/>
        <v>9000</v>
      </c>
      <c r="F147" s="60">
        <f t="shared" si="15"/>
        <v>0.04</v>
      </c>
      <c r="G147" s="57">
        <f t="shared" si="16"/>
        <v>341.36</v>
      </c>
      <c r="I147">
        <f t="shared" si="17"/>
        <v>341.36</v>
      </c>
      <c r="J147" t="b">
        <f t="shared" si="18"/>
        <v>1</v>
      </c>
    </row>
    <row r="148" spans="1:10" x14ac:dyDescent="0.25">
      <c r="A148" s="112">
        <f>"2/24/2018"+COUNTIFS($B$17:B148,B148)</f>
        <v>43158</v>
      </c>
      <c r="B148" s="40" t="s">
        <v>402</v>
      </c>
      <c r="C148" s="40">
        <v>28755</v>
      </c>
      <c r="D148" s="57">
        <f t="shared" si="15"/>
        <v>870</v>
      </c>
      <c r="E148" s="57">
        <f t="shared" si="15"/>
        <v>25000</v>
      </c>
      <c r="F148" s="60">
        <f t="shared" si="15"/>
        <v>7.4999999999999997E-2</v>
      </c>
      <c r="G148" s="57">
        <f t="shared" si="16"/>
        <v>1151.625</v>
      </c>
      <c r="I148">
        <f t="shared" si="17"/>
        <v>1151.625</v>
      </c>
      <c r="J148" t="b">
        <f t="shared" si="18"/>
        <v>1</v>
      </c>
    </row>
    <row r="149" spans="1:10" x14ac:dyDescent="0.25">
      <c r="A149" s="112">
        <f>"2/24/2018"+COUNTIFS($B$17:B149,B149)</f>
        <v>43158</v>
      </c>
      <c r="B149" s="40" t="s">
        <v>403</v>
      </c>
      <c r="C149" s="40">
        <v>16625</v>
      </c>
      <c r="D149" s="57">
        <f t="shared" si="15"/>
        <v>370</v>
      </c>
      <c r="E149" s="57">
        <f t="shared" si="15"/>
        <v>15000</v>
      </c>
      <c r="F149" s="60">
        <f t="shared" si="15"/>
        <v>0.05</v>
      </c>
      <c r="G149" s="57">
        <f t="shared" si="16"/>
        <v>451.25</v>
      </c>
      <c r="I149">
        <f t="shared" si="17"/>
        <v>451.25</v>
      </c>
      <c r="J149" t="b">
        <f t="shared" si="18"/>
        <v>1</v>
      </c>
    </row>
    <row r="150" spans="1:10" x14ac:dyDescent="0.25">
      <c r="A150" s="112">
        <f>"2/24/2018"+COUNTIFS($B$17:B150,B150)</f>
        <v>43158</v>
      </c>
      <c r="B150" s="40" t="s">
        <v>404</v>
      </c>
      <c r="C150" s="40">
        <v>18350</v>
      </c>
      <c r="D150" s="57">
        <f t="shared" si="15"/>
        <v>370</v>
      </c>
      <c r="E150" s="57">
        <f t="shared" si="15"/>
        <v>15000</v>
      </c>
      <c r="F150" s="60">
        <f t="shared" si="15"/>
        <v>0.05</v>
      </c>
      <c r="G150" s="57">
        <f t="shared" si="16"/>
        <v>537.5</v>
      </c>
      <c r="I150">
        <f t="shared" si="17"/>
        <v>537.5</v>
      </c>
      <c r="J150" t="b">
        <f t="shared" si="18"/>
        <v>1</v>
      </c>
    </row>
    <row r="151" spans="1:10" x14ac:dyDescent="0.25">
      <c r="A151" s="112">
        <f>"2/24/2018"+COUNTIFS($B$17:B151,B151)</f>
        <v>43158</v>
      </c>
      <c r="B151" s="40" t="s">
        <v>405</v>
      </c>
      <c r="C151" s="40">
        <v>16574</v>
      </c>
      <c r="D151" s="57">
        <f t="shared" si="15"/>
        <v>370</v>
      </c>
      <c r="E151" s="57">
        <f t="shared" si="15"/>
        <v>15000</v>
      </c>
      <c r="F151" s="60">
        <f t="shared" si="15"/>
        <v>0.05</v>
      </c>
      <c r="G151" s="57">
        <f t="shared" si="16"/>
        <v>448.7</v>
      </c>
      <c r="I151">
        <f t="shared" si="17"/>
        <v>448.7</v>
      </c>
      <c r="J151" t="b">
        <f t="shared" si="18"/>
        <v>1</v>
      </c>
    </row>
    <row r="152" spans="1:10" x14ac:dyDescent="0.25">
      <c r="A152" s="112">
        <f>"2/24/2018"+COUNTIFS($B$17:B152,B152)</f>
        <v>43158</v>
      </c>
      <c r="B152" s="40" t="s">
        <v>406</v>
      </c>
      <c r="C152" s="40">
        <v>15225</v>
      </c>
      <c r="D152" s="57">
        <f t="shared" si="15"/>
        <v>370</v>
      </c>
      <c r="E152" s="57">
        <f t="shared" si="15"/>
        <v>15000</v>
      </c>
      <c r="F152" s="60">
        <f t="shared" si="15"/>
        <v>0.05</v>
      </c>
      <c r="G152" s="57">
        <f t="shared" si="16"/>
        <v>381.25</v>
      </c>
      <c r="I152">
        <f t="shared" si="17"/>
        <v>381.25</v>
      </c>
      <c r="J152" t="b">
        <f t="shared" si="18"/>
        <v>1</v>
      </c>
    </row>
    <row r="153" spans="1:10" x14ac:dyDescent="0.25">
      <c r="A153" s="112">
        <f>"2/24/2018"+COUNTIFS($B$17:B153,B153)</f>
        <v>43158</v>
      </c>
      <c r="B153" s="40" t="s">
        <v>407</v>
      </c>
      <c r="C153" s="40">
        <v>6280</v>
      </c>
      <c r="D153" s="57">
        <f t="shared" si="15"/>
        <v>50</v>
      </c>
      <c r="E153" s="57">
        <f t="shared" si="15"/>
        <v>5000</v>
      </c>
      <c r="F153" s="60">
        <f t="shared" si="15"/>
        <v>1.4999999999999999E-2</v>
      </c>
      <c r="G153" s="57">
        <f t="shared" si="16"/>
        <v>69.2</v>
      </c>
      <c r="I153">
        <f t="shared" si="17"/>
        <v>69.2</v>
      </c>
      <c r="J153" t="b">
        <f t="shared" si="18"/>
        <v>1</v>
      </c>
    </row>
    <row r="154" spans="1:10" x14ac:dyDescent="0.25">
      <c r="A154" s="112">
        <f>"2/24/2018"+COUNTIFS($B$17:B154,B154)</f>
        <v>43158</v>
      </c>
      <c r="B154" s="40" t="s">
        <v>408</v>
      </c>
      <c r="C154" s="40">
        <v>17439</v>
      </c>
      <c r="D154" s="57">
        <f t="shared" si="15"/>
        <v>370</v>
      </c>
      <c r="E154" s="57">
        <f t="shared" si="15"/>
        <v>15000</v>
      </c>
      <c r="F154" s="60">
        <f t="shared" si="15"/>
        <v>0.05</v>
      </c>
      <c r="G154" s="57">
        <f t="shared" si="16"/>
        <v>491.95</v>
      </c>
      <c r="I154">
        <f t="shared" si="17"/>
        <v>491.95</v>
      </c>
      <c r="J154" t="b">
        <f t="shared" si="18"/>
        <v>1</v>
      </c>
    </row>
    <row r="155" spans="1:10" x14ac:dyDescent="0.25">
      <c r="A155" s="112">
        <f>"2/24/2018"+COUNTIFS($B$17:B155,B155)</f>
        <v>43158</v>
      </c>
      <c r="B155" s="40" t="s">
        <v>409</v>
      </c>
      <c r="C155" s="40">
        <v>15576</v>
      </c>
      <c r="D155" s="57">
        <f t="shared" si="15"/>
        <v>370</v>
      </c>
      <c r="E155" s="57">
        <f t="shared" si="15"/>
        <v>15000</v>
      </c>
      <c r="F155" s="60">
        <f t="shared" si="15"/>
        <v>0.05</v>
      </c>
      <c r="G155" s="57">
        <f t="shared" si="16"/>
        <v>398.8</v>
      </c>
      <c r="I155">
        <f t="shared" si="17"/>
        <v>398.8</v>
      </c>
      <c r="J155" t="b">
        <f t="shared" si="18"/>
        <v>1</v>
      </c>
    </row>
    <row r="156" spans="1:10" x14ac:dyDescent="0.25">
      <c r="A156" s="112">
        <f>"2/24/2018"+COUNTIFS($B$17:B156,B156)</f>
        <v>43158</v>
      </c>
      <c r="B156" s="40" t="s">
        <v>410</v>
      </c>
      <c r="C156" s="40">
        <v>12163</v>
      </c>
      <c r="D156" s="57">
        <f t="shared" si="15"/>
        <v>130</v>
      </c>
      <c r="E156" s="57">
        <f t="shared" si="15"/>
        <v>9000</v>
      </c>
      <c r="F156" s="60">
        <f t="shared" si="15"/>
        <v>0.04</v>
      </c>
      <c r="G156" s="57">
        <f t="shared" si="16"/>
        <v>256.52</v>
      </c>
      <c r="I156">
        <f t="shared" si="17"/>
        <v>256.52</v>
      </c>
      <c r="J156" t="b">
        <f t="shared" si="18"/>
        <v>1</v>
      </c>
    </row>
    <row r="157" spans="1:10" x14ac:dyDescent="0.25">
      <c r="A157" s="112">
        <f>"2/24/2018"+COUNTIFS($B$17:B157,B157)</f>
        <v>43158</v>
      </c>
      <c r="B157" s="40" t="s">
        <v>411</v>
      </c>
      <c r="C157" s="40">
        <v>18889</v>
      </c>
      <c r="D157" s="57">
        <f t="shared" si="15"/>
        <v>370</v>
      </c>
      <c r="E157" s="57">
        <f t="shared" si="15"/>
        <v>15000</v>
      </c>
      <c r="F157" s="60">
        <f t="shared" si="15"/>
        <v>0.05</v>
      </c>
      <c r="G157" s="57">
        <f t="shared" si="16"/>
        <v>564.45000000000005</v>
      </c>
      <c r="I157">
        <f t="shared" si="17"/>
        <v>564.45000000000005</v>
      </c>
      <c r="J157" t="b">
        <f t="shared" si="18"/>
        <v>1</v>
      </c>
    </row>
    <row r="158" spans="1:10" x14ac:dyDescent="0.25">
      <c r="A158" s="112">
        <f>"2/24/2018"+COUNTIFS($B$17:B158,B158)</f>
        <v>43158</v>
      </c>
      <c r="B158" s="40" t="s">
        <v>412</v>
      </c>
      <c r="C158" s="40">
        <v>32490</v>
      </c>
      <c r="D158" s="57">
        <f t="shared" si="15"/>
        <v>870</v>
      </c>
      <c r="E158" s="57">
        <f t="shared" si="15"/>
        <v>25000</v>
      </c>
      <c r="F158" s="60">
        <f t="shared" si="15"/>
        <v>7.4999999999999997E-2</v>
      </c>
      <c r="G158" s="57">
        <f t="shared" si="16"/>
        <v>1431.75</v>
      </c>
      <c r="I158">
        <f t="shared" si="17"/>
        <v>1431.75</v>
      </c>
      <c r="J158" t="b">
        <f t="shared" si="18"/>
        <v>1</v>
      </c>
    </row>
    <row r="159" spans="1:10" x14ac:dyDescent="0.25">
      <c r="A159" s="112">
        <f>"2/24/2018"+COUNTIFS($B$17:B159,B159)</f>
        <v>43158</v>
      </c>
      <c r="B159" s="40" t="s">
        <v>413</v>
      </c>
      <c r="C159" s="40">
        <v>9730</v>
      </c>
      <c r="D159" s="57">
        <f t="shared" si="15"/>
        <v>130</v>
      </c>
      <c r="E159" s="57">
        <f t="shared" si="15"/>
        <v>9000</v>
      </c>
      <c r="F159" s="60">
        <f t="shared" si="15"/>
        <v>0.04</v>
      </c>
      <c r="G159" s="57">
        <f t="shared" si="16"/>
        <v>159.19999999999999</v>
      </c>
      <c r="I159">
        <f t="shared" si="17"/>
        <v>159.19999999999999</v>
      </c>
      <c r="J159" t="b">
        <f t="shared" si="18"/>
        <v>1</v>
      </c>
    </row>
    <row r="160" spans="1:10" x14ac:dyDescent="0.25">
      <c r="A160" s="112">
        <f>"2/24/2018"+COUNTIFS($B$17:B160,B160)</f>
        <v>43158</v>
      </c>
      <c r="B160" s="40" t="s">
        <v>414</v>
      </c>
      <c r="C160" s="40">
        <v>13275</v>
      </c>
      <c r="D160" s="57">
        <f t="shared" si="15"/>
        <v>130</v>
      </c>
      <c r="E160" s="57">
        <f t="shared" si="15"/>
        <v>9000</v>
      </c>
      <c r="F160" s="60">
        <f t="shared" si="15"/>
        <v>0.04</v>
      </c>
      <c r="G160" s="57">
        <f t="shared" si="16"/>
        <v>301</v>
      </c>
      <c r="I160">
        <f t="shared" si="17"/>
        <v>301</v>
      </c>
      <c r="J160" t="b">
        <f t="shared" si="18"/>
        <v>1</v>
      </c>
    </row>
    <row r="161" spans="1:10" x14ac:dyDescent="0.25">
      <c r="A161" s="112">
        <f>"2/24/2018"+COUNTIFS($B$17:B161,B161)</f>
        <v>43158</v>
      </c>
      <c r="B161" s="40" t="s">
        <v>415</v>
      </c>
      <c r="C161" s="40">
        <v>12462</v>
      </c>
      <c r="D161" s="57">
        <f t="shared" si="15"/>
        <v>130</v>
      </c>
      <c r="E161" s="57">
        <f t="shared" si="15"/>
        <v>9000</v>
      </c>
      <c r="F161" s="60">
        <f t="shared" si="15"/>
        <v>0.04</v>
      </c>
      <c r="G161" s="57">
        <f t="shared" si="16"/>
        <v>268.48</v>
      </c>
      <c r="I161">
        <f t="shared" si="17"/>
        <v>268.48</v>
      </c>
      <c r="J161" t="b">
        <f t="shared" si="18"/>
        <v>1</v>
      </c>
    </row>
    <row r="162" spans="1:10" x14ac:dyDescent="0.25">
      <c r="A162" s="112">
        <f>"2/24/2018"+COUNTIFS($B$17:B162,B162)</f>
        <v>43158</v>
      </c>
      <c r="B162" s="40" t="s">
        <v>416</v>
      </c>
      <c r="C162" s="40">
        <v>18933</v>
      </c>
      <c r="D162" s="57">
        <f t="shared" si="15"/>
        <v>370</v>
      </c>
      <c r="E162" s="57">
        <f t="shared" si="15"/>
        <v>15000</v>
      </c>
      <c r="F162" s="60">
        <f t="shared" si="15"/>
        <v>0.05</v>
      </c>
      <c r="G162" s="57">
        <f t="shared" si="16"/>
        <v>566.65</v>
      </c>
      <c r="I162">
        <f t="shared" si="17"/>
        <v>566.65</v>
      </c>
      <c r="J162" t="b">
        <f t="shared" si="18"/>
        <v>1</v>
      </c>
    </row>
    <row r="163" spans="1:10" x14ac:dyDescent="0.25">
      <c r="A163" s="112">
        <f>"2/24/2018"+COUNTIFS($B$17:B163,B163)</f>
        <v>43158</v>
      </c>
      <c r="B163" s="40" t="s">
        <v>417</v>
      </c>
      <c r="C163" s="40">
        <v>15820</v>
      </c>
      <c r="D163" s="57">
        <f t="shared" si="15"/>
        <v>370</v>
      </c>
      <c r="E163" s="57">
        <f t="shared" si="15"/>
        <v>15000</v>
      </c>
      <c r="F163" s="60">
        <f t="shared" si="15"/>
        <v>0.05</v>
      </c>
      <c r="G163" s="57">
        <f t="shared" si="16"/>
        <v>411</v>
      </c>
      <c r="I163">
        <f t="shared" si="17"/>
        <v>411</v>
      </c>
      <c r="J163" t="b">
        <f t="shared" si="18"/>
        <v>1</v>
      </c>
    </row>
    <row r="164" spans="1:10" x14ac:dyDescent="0.25">
      <c r="A164" s="112">
        <f>"2/24/2018"+COUNTIFS($B$17:B164,B164)</f>
        <v>43158</v>
      </c>
      <c r="B164" s="40" t="s">
        <v>418</v>
      </c>
      <c r="C164" s="40">
        <v>12796</v>
      </c>
      <c r="D164" s="57">
        <f t="shared" si="15"/>
        <v>130</v>
      </c>
      <c r="E164" s="57">
        <f t="shared" si="15"/>
        <v>9000</v>
      </c>
      <c r="F164" s="60">
        <f t="shared" si="15"/>
        <v>0.04</v>
      </c>
      <c r="G164" s="57">
        <f t="shared" si="16"/>
        <v>281.84000000000003</v>
      </c>
      <c r="I164">
        <f t="shared" si="17"/>
        <v>281.84000000000003</v>
      </c>
      <c r="J164" t="b">
        <f t="shared" si="18"/>
        <v>1</v>
      </c>
    </row>
    <row r="165" spans="1:10" x14ac:dyDescent="0.25">
      <c r="A165" s="112">
        <f>"2/24/2018"+COUNTIFS($B$17:B165,B165)</f>
        <v>43158</v>
      </c>
      <c r="B165" s="40" t="s">
        <v>419</v>
      </c>
      <c r="C165" s="40">
        <v>9578</v>
      </c>
      <c r="D165" s="57">
        <f t="shared" si="15"/>
        <v>130</v>
      </c>
      <c r="E165" s="57">
        <f t="shared" si="15"/>
        <v>9000</v>
      </c>
      <c r="F165" s="60">
        <f t="shared" si="15"/>
        <v>0.04</v>
      </c>
      <c r="G165" s="57">
        <f t="shared" si="16"/>
        <v>153.12</v>
      </c>
      <c r="I165">
        <f t="shared" si="17"/>
        <v>153.12</v>
      </c>
      <c r="J165" t="b">
        <f t="shared" si="18"/>
        <v>1</v>
      </c>
    </row>
    <row r="166" spans="1:10" x14ac:dyDescent="0.25">
      <c r="A166" s="112">
        <f>"2/24/2018"+COUNTIFS($B$17:B166,B166)</f>
        <v>43158</v>
      </c>
      <c r="B166" s="40" t="s">
        <v>420</v>
      </c>
      <c r="C166" s="40">
        <v>27371</v>
      </c>
      <c r="D166" s="57">
        <f t="shared" si="15"/>
        <v>870</v>
      </c>
      <c r="E166" s="57">
        <f t="shared" si="15"/>
        <v>25000</v>
      </c>
      <c r="F166" s="60">
        <f t="shared" si="15"/>
        <v>7.4999999999999997E-2</v>
      </c>
      <c r="G166" s="57">
        <f t="shared" si="16"/>
        <v>1047.825</v>
      </c>
      <c r="I166">
        <f t="shared" si="17"/>
        <v>1047.825</v>
      </c>
      <c r="J166" t="b">
        <f t="shared" si="18"/>
        <v>1</v>
      </c>
    </row>
    <row r="167" spans="1:10" x14ac:dyDescent="0.25">
      <c r="A167" s="112">
        <f>"2/24/2018"+COUNTIFS($B$17:B167,B167)</f>
        <v>43159</v>
      </c>
      <c r="B167" s="40" t="s">
        <v>371</v>
      </c>
      <c r="C167" s="40">
        <v>13323</v>
      </c>
      <c r="D167" s="57">
        <f t="shared" si="15"/>
        <v>130</v>
      </c>
      <c r="E167" s="57">
        <f t="shared" si="15"/>
        <v>9000</v>
      </c>
      <c r="F167" s="60">
        <f t="shared" si="15"/>
        <v>0.04</v>
      </c>
      <c r="G167" s="57">
        <f t="shared" si="16"/>
        <v>302.92</v>
      </c>
      <c r="I167">
        <f t="shared" si="17"/>
        <v>302.92</v>
      </c>
      <c r="J167" t="b">
        <f t="shared" si="18"/>
        <v>1</v>
      </c>
    </row>
    <row r="168" spans="1:10" x14ac:dyDescent="0.25">
      <c r="A168" s="112">
        <f>"2/24/2018"+COUNTIFS($B$17:B168,B168)</f>
        <v>43159</v>
      </c>
      <c r="B168" s="40" t="s">
        <v>372</v>
      </c>
      <c r="C168" s="40">
        <v>13032</v>
      </c>
      <c r="D168" s="57">
        <f t="shared" si="15"/>
        <v>130</v>
      </c>
      <c r="E168" s="57">
        <f t="shared" si="15"/>
        <v>9000</v>
      </c>
      <c r="F168" s="60">
        <f t="shared" si="15"/>
        <v>0.04</v>
      </c>
      <c r="G168" s="57">
        <f t="shared" si="16"/>
        <v>291.27999999999997</v>
      </c>
      <c r="I168">
        <f t="shared" si="17"/>
        <v>291.27999999999997</v>
      </c>
      <c r="J168" t="b">
        <f t="shared" si="18"/>
        <v>1</v>
      </c>
    </row>
    <row r="169" spans="1:10" x14ac:dyDescent="0.25">
      <c r="A169" s="112">
        <f>"2/24/2018"+COUNTIFS($B$17:B169,B169)</f>
        <v>43159</v>
      </c>
      <c r="B169" s="40" t="s">
        <v>373</v>
      </c>
      <c r="C169" s="40">
        <v>15985</v>
      </c>
      <c r="D169" s="57">
        <f t="shared" si="15"/>
        <v>370</v>
      </c>
      <c r="E169" s="57">
        <f t="shared" si="15"/>
        <v>15000</v>
      </c>
      <c r="F169" s="60">
        <f t="shared" si="15"/>
        <v>0.05</v>
      </c>
      <c r="G169" s="57">
        <f t="shared" si="16"/>
        <v>419.25</v>
      </c>
      <c r="I169">
        <f t="shared" si="17"/>
        <v>419.25</v>
      </c>
      <c r="J169" t="b">
        <f t="shared" si="18"/>
        <v>1</v>
      </c>
    </row>
    <row r="170" spans="1:10" x14ac:dyDescent="0.25">
      <c r="A170" s="112">
        <f>"2/24/2018"+COUNTIFS($B$17:B170,B170)</f>
        <v>43159</v>
      </c>
      <c r="B170" s="40" t="s">
        <v>374</v>
      </c>
      <c r="C170" s="40">
        <v>10685</v>
      </c>
      <c r="D170" s="57">
        <f t="shared" si="15"/>
        <v>130</v>
      </c>
      <c r="E170" s="57">
        <f t="shared" si="15"/>
        <v>9000</v>
      </c>
      <c r="F170" s="60">
        <f t="shared" si="15"/>
        <v>0.04</v>
      </c>
      <c r="G170" s="57">
        <f t="shared" si="16"/>
        <v>197.4</v>
      </c>
      <c r="I170">
        <f t="shared" si="17"/>
        <v>197.4</v>
      </c>
      <c r="J170" t="b">
        <f t="shared" si="18"/>
        <v>1</v>
      </c>
    </row>
    <row r="171" spans="1:10" x14ac:dyDescent="0.25">
      <c r="A171" s="112">
        <f>"2/24/2018"+COUNTIFS($B$17:B171,B171)</f>
        <v>43159</v>
      </c>
      <c r="B171" s="40" t="s">
        <v>375</v>
      </c>
      <c r="C171" s="40">
        <v>14703</v>
      </c>
      <c r="D171" s="57">
        <f t="shared" si="15"/>
        <v>130</v>
      </c>
      <c r="E171" s="57">
        <f t="shared" si="15"/>
        <v>9000</v>
      </c>
      <c r="F171" s="60">
        <f t="shared" si="15"/>
        <v>0.04</v>
      </c>
      <c r="G171" s="57">
        <f t="shared" si="16"/>
        <v>358.12</v>
      </c>
      <c r="I171">
        <f t="shared" si="17"/>
        <v>358.12</v>
      </c>
      <c r="J171" t="b">
        <f t="shared" si="18"/>
        <v>1</v>
      </c>
    </row>
    <row r="172" spans="1:10" x14ac:dyDescent="0.25">
      <c r="A172" s="112">
        <f>"2/24/2018"+COUNTIFS($B$17:B172,B172)</f>
        <v>43159</v>
      </c>
      <c r="B172" s="40" t="s">
        <v>376</v>
      </c>
      <c r="C172" s="40">
        <v>18502</v>
      </c>
      <c r="D172" s="57">
        <f t="shared" si="15"/>
        <v>370</v>
      </c>
      <c r="E172" s="57">
        <f t="shared" si="15"/>
        <v>15000</v>
      </c>
      <c r="F172" s="60">
        <f t="shared" si="15"/>
        <v>0.05</v>
      </c>
      <c r="G172" s="57">
        <f t="shared" si="16"/>
        <v>545.1</v>
      </c>
      <c r="I172">
        <f t="shared" si="17"/>
        <v>545.1</v>
      </c>
      <c r="J172" t="b">
        <f t="shared" si="18"/>
        <v>1</v>
      </c>
    </row>
    <row r="173" spans="1:10" x14ac:dyDescent="0.25">
      <c r="A173" s="112">
        <f>"2/24/2018"+COUNTIFS($B$17:B173,B173)</f>
        <v>43159</v>
      </c>
      <c r="B173" s="40" t="s">
        <v>377</v>
      </c>
      <c r="C173" s="40">
        <v>12413</v>
      </c>
      <c r="D173" s="57">
        <f t="shared" si="15"/>
        <v>130</v>
      </c>
      <c r="E173" s="57">
        <f t="shared" si="15"/>
        <v>9000</v>
      </c>
      <c r="F173" s="60">
        <f t="shared" si="15"/>
        <v>0.04</v>
      </c>
      <c r="G173" s="57">
        <f t="shared" si="16"/>
        <v>266.52</v>
      </c>
      <c r="I173">
        <f t="shared" si="17"/>
        <v>266.52</v>
      </c>
      <c r="J173" t="b">
        <f t="shared" si="18"/>
        <v>1</v>
      </c>
    </row>
    <row r="174" spans="1:10" x14ac:dyDescent="0.25">
      <c r="A174" s="112">
        <f>"2/24/2018"+COUNTIFS($B$17:B174,B174)</f>
        <v>43159</v>
      </c>
      <c r="B174" s="40" t="s">
        <v>378</v>
      </c>
      <c r="C174" s="40">
        <v>18081</v>
      </c>
      <c r="D174" s="57">
        <f t="shared" si="15"/>
        <v>370</v>
      </c>
      <c r="E174" s="57">
        <f t="shared" si="15"/>
        <v>15000</v>
      </c>
      <c r="F174" s="60">
        <f t="shared" si="15"/>
        <v>0.05</v>
      </c>
      <c r="G174" s="57">
        <f t="shared" si="16"/>
        <v>524.04999999999995</v>
      </c>
      <c r="I174">
        <f t="shared" si="17"/>
        <v>524.04999999999995</v>
      </c>
      <c r="J174" t="b">
        <f t="shared" si="18"/>
        <v>1</v>
      </c>
    </row>
    <row r="175" spans="1:10" x14ac:dyDescent="0.25">
      <c r="A175" s="112">
        <f>"2/24/2018"+COUNTIFS($B$17:B175,B175)</f>
        <v>43159</v>
      </c>
      <c r="B175" s="40" t="s">
        <v>379</v>
      </c>
      <c r="C175" s="40">
        <v>4726</v>
      </c>
      <c r="D175" s="57">
        <f t="shared" si="15"/>
        <v>0</v>
      </c>
      <c r="E175" s="57">
        <f t="shared" si="15"/>
        <v>0</v>
      </c>
      <c r="F175" s="60">
        <f t="shared" si="15"/>
        <v>0.01</v>
      </c>
      <c r="G175" s="57">
        <f t="shared" si="16"/>
        <v>47.26</v>
      </c>
      <c r="I175">
        <f t="shared" si="17"/>
        <v>47.26</v>
      </c>
      <c r="J175" t="b">
        <f t="shared" si="18"/>
        <v>1</v>
      </c>
    </row>
    <row r="176" spans="1:10" x14ac:dyDescent="0.25">
      <c r="A176" s="112">
        <f>"2/24/2018"+COUNTIFS($B$17:B176,B176)</f>
        <v>43159</v>
      </c>
      <c r="B176" s="40" t="s">
        <v>380</v>
      </c>
      <c r="C176" s="40">
        <v>14662</v>
      </c>
      <c r="D176" s="57">
        <f t="shared" si="15"/>
        <v>130</v>
      </c>
      <c r="E176" s="57">
        <f t="shared" si="15"/>
        <v>9000</v>
      </c>
      <c r="F176" s="60">
        <f t="shared" si="15"/>
        <v>0.04</v>
      </c>
      <c r="G176" s="57">
        <f t="shared" si="16"/>
        <v>356.48</v>
      </c>
      <c r="I176">
        <f t="shared" si="17"/>
        <v>356.48</v>
      </c>
      <c r="J176" t="b">
        <f t="shared" si="18"/>
        <v>1</v>
      </c>
    </row>
    <row r="177" spans="1:10" x14ac:dyDescent="0.25">
      <c r="A177" s="112">
        <f>"2/24/2018"+COUNTIFS($B$17:B177,B177)</f>
        <v>43159</v>
      </c>
      <c r="B177" s="40" t="s">
        <v>381</v>
      </c>
      <c r="C177" s="40">
        <v>19721</v>
      </c>
      <c r="D177" s="57">
        <f t="shared" si="15"/>
        <v>370</v>
      </c>
      <c r="E177" s="57">
        <f t="shared" si="15"/>
        <v>15000</v>
      </c>
      <c r="F177" s="60">
        <f t="shared" si="15"/>
        <v>0.05</v>
      </c>
      <c r="G177" s="57">
        <f t="shared" si="16"/>
        <v>606.04999999999995</v>
      </c>
      <c r="I177">
        <f t="shared" si="17"/>
        <v>606.04999999999995</v>
      </c>
      <c r="J177" t="b">
        <f t="shared" si="18"/>
        <v>1</v>
      </c>
    </row>
    <row r="178" spans="1:10" x14ac:dyDescent="0.25">
      <c r="A178" s="112">
        <f>"2/24/2018"+COUNTIFS($B$17:B178,B178)</f>
        <v>43159</v>
      </c>
      <c r="B178" s="40" t="s">
        <v>382</v>
      </c>
      <c r="C178" s="40">
        <v>19838</v>
      </c>
      <c r="D178" s="57">
        <f t="shared" ref="D178:F216" si="19">VLOOKUP($C178,$G$8:$K$13,D$15)</f>
        <v>370</v>
      </c>
      <c r="E178" s="57">
        <f t="shared" si="19"/>
        <v>15000</v>
      </c>
      <c r="F178" s="60">
        <f t="shared" si="19"/>
        <v>0.05</v>
      </c>
      <c r="G178" s="57">
        <f t="shared" si="16"/>
        <v>611.9</v>
      </c>
      <c r="I178">
        <f t="shared" si="17"/>
        <v>611.9</v>
      </c>
      <c r="J178" t="b">
        <f t="shared" si="18"/>
        <v>1</v>
      </c>
    </row>
    <row r="179" spans="1:10" x14ac:dyDescent="0.25">
      <c r="A179" s="112">
        <f>"2/24/2018"+COUNTIFS($B$17:B179,B179)</f>
        <v>43159</v>
      </c>
      <c r="B179" s="40" t="s">
        <v>383</v>
      </c>
      <c r="C179" s="40">
        <v>18428</v>
      </c>
      <c r="D179" s="57">
        <f t="shared" si="19"/>
        <v>370</v>
      </c>
      <c r="E179" s="57">
        <f t="shared" si="19"/>
        <v>15000</v>
      </c>
      <c r="F179" s="60">
        <f t="shared" si="19"/>
        <v>0.05</v>
      </c>
      <c r="G179" s="57">
        <f t="shared" si="16"/>
        <v>541.4</v>
      </c>
      <c r="I179">
        <f t="shared" si="17"/>
        <v>541.4</v>
      </c>
      <c r="J179" t="b">
        <f t="shared" si="18"/>
        <v>1</v>
      </c>
    </row>
    <row r="180" spans="1:10" x14ac:dyDescent="0.25">
      <c r="A180" s="112">
        <f>"2/24/2018"+COUNTIFS($B$17:B180,B180)</f>
        <v>43159</v>
      </c>
      <c r="B180" s="40" t="s">
        <v>384</v>
      </c>
      <c r="C180" s="40">
        <v>10863</v>
      </c>
      <c r="D180" s="57">
        <f t="shared" si="19"/>
        <v>130</v>
      </c>
      <c r="E180" s="57">
        <f t="shared" si="19"/>
        <v>9000</v>
      </c>
      <c r="F180" s="60">
        <f t="shared" si="19"/>
        <v>0.04</v>
      </c>
      <c r="G180" s="57">
        <f t="shared" si="16"/>
        <v>204.51999999999998</v>
      </c>
      <c r="I180">
        <f t="shared" si="17"/>
        <v>204.51999999999998</v>
      </c>
      <c r="J180" t="b">
        <f t="shared" si="18"/>
        <v>1</v>
      </c>
    </row>
    <row r="181" spans="1:10" x14ac:dyDescent="0.25">
      <c r="A181" s="112">
        <f>"2/24/2018"+COUNTIFS($B$17:B181,B181)</f>
        <v>43159</v>
      </c>
      <c r="B181" s="40" t="s">
        <v>385</v>
      </c>
      <c r="C181" s="40">
        <v>17614</v>
      </c>
      <c r="D181" s="57">
        <f t="shared" si="19"/>
        <v>370</v>
      </c>
      <c r="E181" s="57">
        <f t="shared" si="19"/>
        <v>15000</v>
      </c>
      <c r="F181" s="60">
        <f t="shared" si="19"/>
        <v>0.05</v>
      </c>
      <c r="G181" s="57">
        <f t="shared" si="16"/>
        <v>500.70000000000005</v>
      </c>
      <c r="I181">
        <f t="shared" si="17"/>
        <v>500.70000000000005</v>
      </c>
      <c r="J181" t="b">
        <f t="shared" si="18"/>
        <v>1</v>
      </c>
    </row>
    <row r="182" spans="1:10" x14ac:dyDescent="0.25">
      <c r="A182" s="112">
        <f>"2/24/2018"+COUNTIFS($B$17:B182,B182)</f>
        <v>43159</v>
      </c>
      <c r="B182" s="40" t="s">
        <v>386</v>
      </c>
      <c r="C182" s="40">
        <v>16596</v>
      </c>
      <c r="D182" s="57">
        <f t="shared" si="19"/>
        <v>370</v>
      </c>
      <c r="E182" s="57">
        <f t="shared" si="19"/>
        <v>15000</v>
      </c>
      <c r="F182" s="60">
        <f t="shared" si="19"/>
        <v>0.05</v>
      </c>
      <c r="G182" s="57">
        <f t="shared" si="16"/>
        <v>449.8</v>
      </c>
      <c r="I182">
        <f t="shared" si="17"/>
        <v>449.8</v>
      </c>
      <c r="J182" t="b">
        <f t="shared" si="18"/>
        <v>1</v>
      </c>
    </row>
    <row r="183" spans="1:10" x14ac:dyDescent="0.25">
      <c r="A183" s="112">
        <f>"2/24/2018"+COUNTIFS($B$17:B183,B183)</f>
        <v>43159</v>
      </c>
      <c r="B183" s="40" t="s">
        <v>387</v>
      </c>
      <c r="C183" s="40">
        <v>11254</v>
      </c>
      <c r="D183" s="57">
        <f t="shared" si="19"/>
        <v>130</v>
      </c>
      <c r="E183" s="57">
        <f t="shared" si="19"/>
        <v>9000</v>
      </c>
      <c r="F183" s="60">
        <f t="shared" si="19"/>
        <v>0.04</v>
      </c>
      <c r="G183" s="57">
        <f t="shared" si="16"/>
        <v>220.16</v>
      </c>
      <c r="I183">
        <f t="shared" si="17"/>
        <v>220.16</v>
      </c>
      <c r="J183" t="b">
        <f t="shared" si="18"/>
        <v>1</v>
      </c>
    </row>
    <row r="184" spans="1:10" x14ac:dyDescent="0.25">
      <c r="A184" s="112">
        <f>"2/24/2018"+COUNTIFS($B$17:B184,B184)</f>
        <v>43159</v>
      </c>
      <c r="B184" s="40" t="s">
        <v>388</v>
      </c>
      <c r="C184" s="40">
        <v>6253</v>
      </c>
      <c r="D184" s="57">
        <f t="shared" si="19"/>
        <v>50</v>
      </c>
      <c r="E184" s="57">
        <f t="shared" si="19"/>
        <v>5000</v>
      </c>
      <c r="F184" s="60">
        <f t="shared" si="19"/>
        <v>1.4999999999999999E-2</v>
      </c>
      <c r="G184" s="57">
        <f t="shared" si="16"/>
        <v>68.795000000000002</v>
      </c>
      <c r="I184">
        <f t="shared" si="17"/>
        <v>68.795000000000002</v>
      </c>
      <c r="J184" t="b">
        <f t="shared" si="18"/>
        <v>1</v>
      </c>
    </row>
    <row r="185" spans="1:10" x14ac:dyDescent="0.25">
      <c r="A185" s="112">
        <f>"2/24/2018"+COUNTIFS($B$17:B185,B185)</f>
        <v>43159</v>
      </c>
      <c r="B185" s="40" t="s">
        <v>389</v>
      </c>
      <c r="C185" s="40">
        <v>19643</v>
      </c>
      <c r="D185" s="57">
        <f t="shared" si="19"/>
        <v>370</v>
      </c>
      <c r="E185" s="57">
        <f t="shared" si="19"/>
        <v>15000</v>
      </c>
      <c r="F185" s="60">
        <f t="shared" si="19"/>
        <v>0.05</v>
      </c>
      <c r="G185" s="57">
        <f t="shared" si="16"/>
        <v>602.15</v>
      </c>
      <c r="I185">
        <f t="shared" si="17"/>
        <v>602.15</v>
      </c>
      <c r="J185" t="b">
        <f t="shared" si="18"/>
        <v>1</v>
      </c>
    </row>
    <row r="186" spans="1:10" x14ac:dyDescent="0.25">
      <c r="A186" s="112">
        <f>"2/24/2018"+COUNTIFS($B$17:B186,B186)</f>
        <v>43159</v>
      </c>
      <c r="B186" s="40" t="s">
        <v>390</v>
      </c>
      <c r="C186" s="40">
        <v>10486</v>
      </c>
      <c r="D186" s="57">
        <f t="shared" si="19"/>
        <v>130</v>
      </c>
      <c r="E186" s="57">
        <f t="shared" si="19"/>
        <v>9000</v>
      </c>
      <c r="F186" s="60">
        <f t="shared" si="19"/>
        <v>0.04</v>
      </c>
      <c r="G186" s="57">
        <f t="shared" si="16"/>
        <v>189.44</v>
      </c>
      <c r="I186">
        <f t="shared" si="17"/>
        <v>189.44</v>
      </c>
      <c r="J186" t="b">
        <f t="shared" si="18"/>
        <v>1</v>
      </c>
    </row>
    <row r="187" spans="1:10" x14ac:dyDescent="0.25">
      <c r="A187" s="112">
        <f>"2/24/2018"+COUNTIFS($B$17:B187,B187)</f>
        <v>43159</v>
      </c>
      <c r="B187" s="40" t="s">
        <v>391</v>
      </c>
      <c r="C187" s="40">
        <v>13989</v>
      </c>
      <c r="D187" s="57">
        <f t="shared" si="19"/>
        <v>130</v>
      </c>
      <c r="E187" s="57">
        <f t="shared" si="19"/>
        <v>9000</v>
      </c>
      <c r="F187" s="60">
        <f t="shared" si="19"/>
        <v>0.04</v>
      </c>
      <c r="G187" s="57">
        <f t="shared" si="16"/>
        <v>329.56</v>
      </c>
      <c r="I187">
        <f t="shared" si="17"/>
        <v>329.56</v>
      </c>
      <c r="J187" t="b">
        <f t="shared" si="18"/>
        <v>1</v>
      </c>
    </row>
    <row r="188" spans="1:10" x14ac:dyDescent="0.25">
      <c r="A188" s="112">
        <f>"2/24/2018"+COUNTIFS($B$17:B188,B188)</f>
        <v>43159</v>
      </c>
      <c r="B188" s="40" t="s">
        <v>392</v>
      </c>
      <c r="C188" s="40">
        <v>18139</v>
      </c>
      <c r="D188" s="57">
        <f t="shared" si="19"/>
        <v>370</v>
      </c>
      <c r="E188" s="57">
        <f t="shared" si="19"/>
        <v>15000</v>
      </c>
      <c r="F188" s="60">
        <f t="shared" si="19"/>
        <v>0.05</v>
      </c>
      <c r="G188" s="57">
        <f t="shared" si="16"/>
        <v>526.95000000000005</v>
      </c>
      <c r="I188">
        <f t="shared" si="17"/>
        <v>526.95000000000005</v>
      </c>
      <c r="J188" t="b">
        <f t="shared" si="18"/>
        <v>1</v>
      </c>
    </row>
    <row r="189" spans="1:10" x14ac:dyDescent="0.25">
      <c r="A189" s="112">
        <f>"2/24/2018"+COUNTIFS($B$17:B189,B189)</f>
        <v>43159</v>
      </c>
      <c r="B189" s="40" t="s">
        <v>393</v>
      </c>
      <c r="C189" s="40">
        <v>11049</v>
      </c>
      <c r="D189" s="57">
        <f t="shared" si="19"/>
        <v>130</v>
      </c>
      <c r="E189" s="57">
        <f t="shared" si="19"/>
        <v>9000</v>
      </c>
      <c r="F189" s="60">
        <f t="shared" si="19"/>
        <v>0.04</v>
      </c>
      <c r="G189" s="57">
        <f t="shared" si="16"/>
        <v>211.96</v>
      </c>
      <c r="I189">
        <f t="shared" si="17"/>
        <v>211.96</v>
      </c>
      <c r="J189" t="b">
        <f t="shared" si="18"/>
        <v>1</v>
      </c>
    </row>
    <row r="190" spans="1:10" x14ac:dyDescent="0.25">
      <c r="A190" s="112">
        <f>"2/24/2018"+COUNTIFS($B$17:B190,B190)</f>
        <v>43159</v>
      </c>
      <c r="B190" s="40" t="s">
        <v>394</v>
      </c>
      <c r="C190" s="40">
        <v>19436</v>
      </c>
      <c r="D190" s="57">
        <f t="shared" si="19"/>
        <v>370</v>
      </c>
      <c r="E190" s="57">
        <f t="shared" si="19"/>
        <v>15000</v>
      </c>
      <c r="F190" s="60">
        <f t="shared" si="19"/>
        <v>0.05</v>
      </c>
      <c r="G190" s="57">
        <f t="shared" si="16"/>
        <v>591.79999999999995</v>
      </c>
      <c r="I190">
        <f t="shared" si="17"/>
        <v>591.79999999999995</v>
      </c>
      <c r="J190" t="b">
        <f t="shared" si="18"/>
        <v>1</v>
      </c>
    </row>
    <row r="191" spans="1:10" x14ac:dyDescent="0.25">
      <c r="A191" s="112">
        <f>"2/24/2018"+COUNTIFS($B$17:B191,B191)</f>
        <v>43159</v>
      </c>
      <c r="B191" s="40" t="s">
        <v>395</v>
      </c>
      <c r="C191" s="40">
        <v>9943</v>
      </c>
      <c r="D191" s="57">
        <f t="shared" si="19"/>
        <v>130</v>
      </c>
      <c r="E191" s="57">
        <f t="shared" si="19"/>
        <v>9000</v>
      </c>
      <c r="F191" s="60">
        <f t="shared" si="19"/>
        <v>0.04</v>
      </c>
      <c r="G191" s="57">
        <f t="shared" si="16"/>
        <v>167.72</v>
      </c>
      <c r="I191">
        <f t="shared" si="17"/>
        <v>167.72</v>
      </c>
      <c r="J191" t="b">
        <f t="shared" si="18"/>
        <v>1</v>
      </c>
    </row>
    <row r="192" spans="1:10" x14ac:dyDescent="0.25">
      <c r="A192" s="112">
        <f>"2/24/2018"+COUNTIFS($B$17:B192,B192)</f>
        <v>43159</v>
      </c>
      <c r="B192" s="40" t="s">
        <v>396</v>
      </c>
      <c r="C192" s="40">
        <v>14550</v>
      </c>
      <c r="D192" s="57">
        <f t="shared" si="19"/>
        <v>130</v>
      </c>
      <c r="E192" s="57">
        <f t="shared" si="19"/>
        <v>9000</v>
      </c>
      <c r="F192" s="60">
        <f t="shared" si="19"/>
        <v>0.04</v>
      </c>
      <c r="G192" s="57">
        <f t="shared" si="16"/>
        <v>352</v>
      </c>
      <c r="I192">
        <f t="shared" si="17"/>
        <v>352</v>
      </c>
      <c r="J192" t="b">
        <f t="shared" si="18"/>
        <v>1</v>
      </c>
    </row>
    <row r="193" spans="1:10" x14ac:dyDescent="0.25">
      <c r="A193" s="112">
        <f>"2/24/2018"+COUNTIFS($B$17:B193,B193)</f>
        <v>43159</v>
      </c>
      <c r="B193" s="40" t="s">
        <v>397</v>
      </c>
      <c r="C193" s="40">
        <v>17170</v>
      </c>
      <c r="D193" s="57">
        <f t="shared" si="19"/>
        <v>370</v>
      </c>
      <c r="E193" s="57">
        <f t="shared" si="19"/>
        <v>15000</v>
      </c>
      <c r="F193" s="60">
        <f t="shared" si="19"/>
        <v>0.05</v>
      </c>
      <c r="G193" s="57">
        <f t="shared" si="16"/>
        <v>478.5</v>
      </c>
      <c r="I193">
        <f t="shared" si="17"/>
        <v>478.5</v>
      </c>
      <c r="J193" t="b">
        <f t="shared" si="18"/>
        <v>1</v>
      </c>
    </row>
    <row r="194" spans="1:10" x14ac:dyDescent="0.25">
      <c r="A194" s="112">
        <f>"2/24/2018"+COUNTIFS($B$17:B194,B194)</f>
        <v>43159</v>
      </c>
      <c r="B194" s="40" t="s">
        <v>398</v>
      </c>
      <c r="C194" s="40">
        <v>12735</v>
      </c>
      <c r="D194" s="57">
        <f t="shared" si="19"/>
        <v>130</v>
      </c>
      <c r="E194" s="57">
        <f t="shared" si="19"/>
        <v>9000</v>
      </c>
      <c r="F194" s="60">
        <f t="shared" si="19"/>
        <v>0.04</v>
      </c>
      <c r="G194" s="57">
        <f t="shared" si="16"/>
        <v>279.39999999999998</v>
      </c>
      <c r="I194">
        <f t="shared" si="17"/>
        <v>279.39999999999998</v>
      </c>
      <c r="J194" t="b">
        <f t="shared" si="18"/>
        <v>1</v>
      </c>
    </row>
    <row r="195" spans="1:10" x14ac:dyDescent="0.25">
      <c r="A195" s="112">
        <f>"2/24/2018"+COUNTIFS($B$17:B195,B195)</f>
        <v>43159</v>
      </c>
      <c r="B195" s="40" t="s">
        <v>399</v>
      </c>
      <c r="C195" s="40">
        <v>10416</v>
      </c>
      <c r="D195" s="57">
        <f t="shared" si="19"/>
        <v>130</v>
      </c>
      <c r="E195" s="57">
        <f t="shared" si="19"/>
        <v>9000</v>
      </c>
      <c r="F195" s="60">
        <f t="shared" si="19"/>
        <v>0.04</v>
      </c>
      <c r="G195" s="57">
        <f t="shared" si="16"/>
        <v>186.64</v>
      </c>
      <c r="I195">
        <f t="shared" si="17"/>
        <v>186.64</v>
      </c>
      <c r="J195" t="b">
        <f t="shared" si="18"/>
        <v>1</v>
      </c>
    </row>
    <row r="196" spans="1:10" x14ac:dyDescent="0.25">
      <c r="A196" s="112">
        <f>"2/24/2018"+COUNTIFS($B$17:B196,B196)</f>
        <v>43159</v>
      </c>
      <c r="B196" s="40" t="s">
        <v>400</v>
      </c>
      <c r="C196" s="40">
        <v>14563</v>
      </c>
      <c r="D196" s="57">
        <f t="shared" si="19"/>
        <v>130</v>
      </c>
      <c r="E196" s="57">
        <f t="shared" si="19"/>
        <v>9000</v>
      </c>
      <c r="F196" s="60">
        <f t="shared" si="19"/>
        <v>0.04</v>
      </c>
      <c r="G196" s="57">
        <f t="shared" si="16"/>
        <v>352.52</v>
      </c>
      <c r="I196">
        <f t="shared" si="17"/>
        <v>352.52</v>
      </c>
      <c r="J196" t="b">
        <f t="shared" si="18"/>
        <v>1</v>
      </c>
    </row>
    <row r="197" spans="1:10" x14ac:dyDescent="0.25">
      <c r="A197" s="112">
        <f>"2/24/2018"+COUNTIFS($B$17:B197,B197)</f>
        <v>43159</v>
      </c>
      <c r="B197" s="40" t="s">
        <v>401</v>
      </c>
      <c r="C197" s="40">
        <v>8319</v>
      </c>
      <c r="D197" s="57">
        <f t="shared" si="19"/>
        <v>80</v>
      </c>
      <c r="E197" s="57">
        <f t="shared" si="19"/>
        <v>7000</v>
      </c>
      <c r="F197" s="60">
        <f t="shared" si="19"/>
        <v>2.5000000000000001E-2</v>
      </c>
      <c r="G197" s="57">
        <f t="shared" si="16"/>
        <v>112.97499999999999</v>
      </c>
      <c r="I197">
        <f t="shared" si="17"/>
        <v>112.97499999999999</v>
      </c>
      <c r="J197" t="b">
        <f t="shared" si="18"/>
        <v>1</v>
      </c>
    </row>
    <row r="198" spans="1:10" x14ac:dyDescent="0.25">
      <c r="A198" s="112">
        <f>"2/24/2018"+COUNTIFS($B$17:B198,B198)</f>
        <v>43159</v>
      </c>
      <c r="B198" s="40" t="s">
        <v>402</v>
      </c>
      <c r="C198" s="40">
        <v>9787</v>
      </c>
      <c r="D198" s="57">
        <f t="shared" si="19"/>
        <v>130</v>
      </c>
      <c r="E198" s="57">
        <f t="shared" si="19"/>
        <v>9000</v>
      </c>
      <c r="F198" s="60">
        <f t="shared" si="19"/>
        <v>0.04</v>
      </c>
      <c r="G198" s="57">
        <f t="shared" si="16"/>
        <v>161.47999999999999</v>
      </c>
      <c r="I198">
        <f t="shared" si="17"/>
        <v>161.47999999999999</v>
      </c>
      <c r="J198" t="b">
        <f t="shared" si="18"/>
        <v>1</v>
      </c>
    </row>
    <row r="199" spans="1:10" x14ac:dyDescent="0.25">
      <c r="A199" s="112">
        <f>"2/24/2018"+COUNTIFS($B$17:B199,B199)</f>
        <v>43159</v>
      </c>
      <c r="B199" s="40" t="s">
        <v>403</v>
      </c>
      <c r="C199" s="40">
        <v>14367</v>
      </c>
      <c r="D199" s="57">
        <f t="shared" si="19"/>
        <v>130</v>
      </c>
      <c r="E199" s="57">
        <f t="shared" si="19"/>
        <v>9000</v>
      </c>
      <c r="F199" s="60">
        <f t="shared" si="19"/>
        <v>0.04</v>
      </c>
      <c r="G199" s="57">
        <f t="shared" si="16"/>
        <v>344.68</v>
      </c>
      <c r="I199">
        <f t="shared" si="17"/>
        <v>344.68</v>
      </c>
      <c r="J199" t="b">
        <f t="shared" si="18"/>
        <v>1</v>
      </c>
    </row>
    <row r="200" spans="1:10" x14ac:dyDescent="0.25">
      <c r="A200" s="112">
        <f>"2/24/2018"+COUNTIFS($B$17:B200,B200)</f>
        <v>43159</v>
      </c>
      <c r="B200" s="40" t="s">
        <v>404</v>
      </c>
      <c r="C200" s="40">
        <v>14225</v>
      </c>
      <c r="D200" s="57">
        <f t="shared" si="19"/>
        <v>130</v>
      </c>
      <c r="E200" s="57">
        <f t="shared" si="19"/>
        <v>9000</v>
      </c>
      <c r="F200" s="60">
        <f t="shared" si="19"/>
        <v>0.04</v>
      </c>
      <c r="G200" s="57">
        <f t="shared" si="16"/>
        <v>339</v>
      </c>
      <c r="I200">
        <f t="shared" si="17"/>
        <v>339</v>
      </c>
      <c r="J200" t="b">
        <f t="shared" si="18"/>
        <v>1</v>
      </c>
    </row>
    <row r="201" spans="1:10" x14ac:dyDescent="0.25">
      <c r="A201" s="112">
        <f>"2/24/2018"+COUNTIFS($B$17:B201,B201)</f>
        <v>43159</v>
      </c>
      <c r="B201" s="40" t="s">
        <v>405</v>
      </c>
      <c r="C201" s="40">
        <v>15692</v>
      </c>
      <c r="D201" s="57">
        <f t="shared" si="19"/>
        <v>370</v>
      </c>
      <c r="E201" s="57">
        <f t="shared" si="19"/>
        <v>15000</v>
      </c>
      <c r="F201" s="60">
        <f t="shared" si="19"/>
        <v>0.05</v>
      </c>
      <c r="G201" s="57">
        <f t="shared" si="16"/>
        <v>404.6</v>
      </c>
      <c r="I201">
        <f t="shared" si="17"/>
        <v>404.6</v>
      </c>
      <c r="J201" t="b">
        <f t="shared" si="18"/>
        <v>1</v>
      </c>
    </row>
    <row r="202" spans="1:10" x14ac:dyDescent="0.25">
      <c r="A202" s="112">
        <f>"2/24/2018"+COUNTIFS($B$17:B202,B202)</f>
        <v>43159</v>
      </c>
      <c r="B202" s="40" t="s">
        <v>406</v>
      </c>
      <c r="C202" s="40">
        <v>9776</v>
      </c>
      <c r="D202" s="57">
        <f t="shared" si="19"/>
        <v>130</v>
      </c>
      <c r="E202" s="57">
        <f t="shared" si="19"/>
        <v>9000</v>
      </c>
      <c r="F202" s="60">
        <f t="shared" si="19"/>
        <v>0.04</v>
      </c>
      <c r="G202" s="57">
        <f t="shared" si="16"/>
        <v>161.04</v>
      </c>
      <c r="I202">
        <f t="shared" si="17"/>
        <v>161.04</v>
      </c>
      <c r="J202" t="b">
        <f t="shared" si="18"/>
        <v>1</v>
      </c>
    </row>
    <row r="203" spans="1:10" x14ac:dyDescent="0.25">
      <c r="A203" s="112">
        <f>"2/24/2018"+COUNTIFS($B$17:B203,B203)</f>
        <v>43159</v>
      </c>
      <c r="B203" s="40" t="s">
        <v>407</v>
      </c>
      <c r="C203" s="40">
        <v>13843</v>
      </c>
      <c r="D203" s="57">
        <f t="shared" si="19"/>
        <v>130</v>
      </c>
      <c r="E203" s="57">
        <f t="shared" si="19"/>
        <v>9000</v>
      </c>
      <c r="F203" s="60">
        <f t="shared" si="19"/>
        <v>0.04</v>
      </c>
      <c r="G203" s="57">
        <f t="shared" si="16"/>
        <v>323.72000000000003</v>
      </c>
      <c r="I203">
        <f t="shared" si="17"/>
        <v>323.72000000000003</v>
      </c>
      <c r="J203" t="b">
        <f t="shared" si="18"/>
        <v>1</v>
      </c>
    </row>
    <row r="204" spans="1:10" x14ac:dyDescent="0.25">
      <c r="A204" s="112">
        <f>"2/24/2018"+COUNTIFS($B$17:B204,B204)</f>
        <v>43159</v>
      </c>
      <c r="B204" s="40" t="s">
        <v>408</v>
      </c>
      <c r="C204" s="40">
        <v>12941</v>
      </c>
      <c r="D204" s="57">
        <f t="shared" si="19"/>
        <v>130</v>
      </c>
      <c r="E204" s="57">
        <f t="shared" si="19"/>
        <v>9000</v>
      </c>
      <c r="F204" s="60">
        <f t="shared" si="19"/>
        <v>0.04</v>
      </c>
      <c r="G204" s="57">
        <f t="shared" si="16"/>
        <v>287.64</v>
      </c>
      <c r="I204">
        <f t="shared" si="17"/>
        <v>287.64</v>
      </c>
      <c r="J204" t="b">
        <f t="shared" si="18"/>
        <v>1</v>
      </c>
    </row>
    <row r="205" spans="1:10" x14ac:dyDescent="0.25">
      <c r="A205" s="112">
        <f>"2/24/2018"+COUNTIFS($B$17:B205,B205)</f>
        <v>43159</v>
      </c>
      <c r="B205" s="40" t="s">
        <v>409</v>
      </c>
      <c r="C205" s="40">
        <v>18450</v>
      </c>
      <c r="D205" s="57">
        <f t="shared" si="19"/>
        <v>370</v>
      </c>
      <c r="E205" s="57">
        <f t="shared" si="19"/>
        <v>15000</v>
      </c>
      <c r="F205" s="60">
        <f t="shared" si="19"/>
        <v>0.05</v>
      </c>
      <c r="G205" s="57">
        <f t="shared" si="16"/>
        <v>542.5</v>
      </c>
      <c r="I205">
        <f t="shared" si="17"/>
        <v>542.5</v>
      </c>
      <c r="J205" t="b">
        <f t="shared" si="18"/>
        <v>1</v>
      </c>
    </row>
    <row r="206" spans="1:10" x14ac:dyDescent="0.25">
      <c r="A206" s="112">
        <f>"2/24/2018"+COUNTIFS($B$17:B206,B206)</f>
        <v>43159</v>
      </c>
      <c r="B206" s="40" t="s">
        <v>410</v>
      </c>
      <c r="C206" s="40">
        <v>10593</v>
      </c>
      <c r="D206" s="57">
        <f t="shared" si="19"/>
        <v>130</v>
      </c>
      <c r="E206" s="57">
        <f t="shared" si="19"/>
        <v>9000</v>
      </c>
      <c r="F206" s="60">
        <f t="shared" si="19"/>
        <v>0.04</v>
      </c>
      <c r="G206" s="57">
        <f t="shared" si="16"/>
        <v>193.72</v>
      </c>
      <c r="I206">
        <f t="shared" si="17"/>
        <v>193.72</v>
      </c>
      <c r="J206" t="b">
        <f t="shared" si="18"/>
        <v>1</v>
      </c>
    </row>
    <row r="207" spans="1:10" x14ac:dyDescent="0.25">
      <c r="A207" s="112">
        <f>"2/24/2018"+COUNTIFS($B$17:B207,B207)</f>
        <v>43159</v>
      </c>
      <c r="B207" s="40" t="s">
        <v>411</v>
      </c>
      <c r="C207" s="40">
        <v>15116</v>
      </c>
      <c r="D207" s="57">
        <f t="shared" si="19"/>
        <v>370</v>
      </c>
      <c r="E207" s="57">
        <f t="shared" si="19"/>
        <v>15000</v>
      </c>
      <c r="F207" s="60">
        <f t="shared" si="19"/>
        <v>0.05</v>
      </c>
      <c r="G207" s="57">
        <f t="shared" si="16"/>
        <v>375.8</v>
      </c>
      <c r="I207">
        <f t="shared" si="17"/>
        <v>375.8</v>
      </c>
      <c r="J207" t="b">
        <f t="shared" si="18"/>
        <v>1</v>
      </c>
    </row>
    <row r="208" spans="1:10" x14ac:dyDescent="0.25">
      <c r="A208" s="112">
        <f>"2/24/2018"+COUNTIFS($B$17:B208,B208)</f>
        <v>43159</v>
      </c>
      <c r="B208" s="40" t="s">
        <v>412</v>
      </c>
      <c r="C208" s="40">
        <v>11361</v>
      </c>
      <c r="D208" s="57">
        <f t="shared" si="19"/>
        <v>130</v>
      </c>
      <c r="E208" s="57">
        <f t="shared" si="19"/>
        <v>9000</v>
      </c>
      <c r="F208" s="60">
        <f t="shared" si="19"/>
        <v>0.04</v>
      </c>
      <c r="G208" s="57">
        <f t="shared" si="16"/>
        <v>224.44</v>
      </c>
      <c r="I208">
        <f t="shared" si="17"/>
        <v>224.44</v>
      </c>
      <c r="J208" t="b">
        <f t="shared" si="18"/>
        <v>1</v>
      </c>
    </row>
    <row r="209" spans="1:10" x14ac:dyDescent="0.25">
      <c r="A209" s="112">
        <f>"2/24/2018"+COUNTIFS($B$17:B209,B209)</f>
        <v>43159</v>
      </c>
      <c r="B209" s="40" t="s">
        <v>413</v>
      </c>
      <c r="C209" s="40">
        <v>13274</v>
      </c>
      <c r="D209" s="57">
        <f t="shared" si="19"/>
        <v>130</v>
      </c>
      <c r="E209" s="57">
        <f t="shared" si="19"/>
        <v>9000</v>
      </c>
      <c r="F209" s="60">
        <f t="shared" si="19"/>
        <v>0.04</v>
      </c>
      <c r="G209" s="57">
        <f t="shared" si="16"/>
        <v>300.96000000000004</v>
      </c>
      <c r="I209">
        <f t="shared" si="17"/>
        <v>300.96000000000004</v>
      </c>
      <c r="J209" t="b">
        <f t="shared" si="18"/>
        <v>1</v>
      </c>
    </row>
    <row r="210" spans="1:10" x14ac:dyDescent="0.25">
      <c r="A210" s="112">
        <f>"2/24/2018"+COUNTIFS($B$17:B210,B210)</f>
        <v>43159</v>
      </c>
      <c r="B210" s="40" t="s">
        <v>414</v>
      </c>
      <c r="C210" s="40">
        <v>6165</v>
      </c>
      <c r="D210" s="57">
        <f t="shared" si="19"/>
        <v>50</v>
      </c>
      <c r="E210" s="57">
        <f t="shared" si="19"/>
        <v>5000</v>
      </c>
      <c r="F210" s="60">
        <f t="shared" si="19"/>
        <v>1.4999999999999999E-2</v>
      </c>
      <c r="G210" s="57">
        <f t="shared" ref="G210:G216" si="20">D210+(C210-E210)*F210</f>
        <v>67.474999999999994</v>
      </c>
      <c r="I210">
        <f t="shared" ref="I210:I216" si="21">VLOOKUP(C210,$G$8:$K$13,5)+(C210-VLOOKUP(C210,$G$8:$K$13,4))*VLOOKUP(C210,$G$8:$K$13,3)</f>
        <v>67.474999999999994</v>
      </c>
      <c r="J210" t="b">
        <f t="shared" ref="J210:J216" si="22">I210=G210</f>
        <v>1</v>
      </c>
    </row>
    <row r="211" spans="1:10" x14ac:dyDescent="0.25">
      <c r="A211" s="112">
        <f>"2/24/2018"+COUNTIFS($B$17:B211,B211)</f>
        <v>43159</v>
      </c>
      <c r="B211" s="40" t="s">
        <v>415</v>
      </c>
      <c r="C211" s="40">
        <v>12790</v>
      </c>
      <c r="D211" s="57">
        <f t="shared" si="19"/>
        <v>130</v>
      </c>
      <c r="E211" s="57">
        <f t="shared" si="19"/>
        <v>9000</v>
      </c>
      <c r="F211" s="60">
        <f t="shared" si="19"/>
        <v>0.04</v>
      </c>
      <c r="G211" s="57">
        <f t="shared" si="20"/>
        <v>281.60000000000002</v>
      </c>
      <c r="I211">
        <f t="shared" si="21"/>
        <v>281.60000000000002</v>
      </c>
      <c r="J211" t="b">
        <f t="shared" si="22"/>
        <v>1</v>
      </c>
    </row>
    <row r="212" spans="1:10" x14ac:dyDescent="0.25">
      <c r="A212" s="112">
        <f>"2/24/2018"+COUNTIFS($B$17:B212,B212)</f>
        <v>43159</v>
      </c>
      <c r="B212" s="40" t="s">
        <v>416</v>
      </c>
      <c r="C212" s="40">
        <v>18983</v>
      </c>
      <c r="D212" s="57">
        <f t="shared" si="19"/>
        <v>370</v>
      </c>
      <c r="E212" s="57">
        <f t="shared" si="19"/>
        <v>15000</v>
      </c>
      <c r="F212" s="60">
        <f t="shared" si="19"/>
        <v>0.05</v>
      </c>
      <c r="G212" s="57">
        <f t="shared" si="20"/>
        <v>569.15</v>
      </c>
      <c r="I212">
        <f t="shared" si="21"/>
        <v>569.15</v>
      </c>
      <c r="J212" t="b">
        <f t="shared" si="22"/>
        <v>1</v>
      </c>
    </row>
    <row r="213" spans="1:10" x14ac:dyDescent="0.25">
      <c r="A213" s="112">
        <f>"2/24/2018"+COUNTIFS($B$17:B213,B213)</f>
        <v>43159</v>
      </c>
      <c r="B213" s="40" t="s">
        <v>417</v>
      </c>
      <c r="C213" s="40">
        <v>15587</v>
      </c>
      <c r="D213" s="57">
        <f t="shared" si="19"/>
        <v>370</v>
      </c>
      <c r="E213" s="57">
        <f t="shared" si="19"/>
        <v>15000</v>
      </c>
      <c r="F213" s="60">
        <f t="shared" si="19"/>
        <v>0.05</v>
      </c>
      <c r="G213" s="57">
        <f t="shared" si="20"/>
        <v>399.35</v>
      </c>
      <c r="I213">
        <f t="shared" si="21"/>
        <v>399.35</v>
      </c>
      <c r="J213" t="b">
        <f t="shared" si="22"/>
        <v>1</v>
      </c>
    </row>
    <row r="214" spans="1:10" x14ac:dyDescent="0.25">
      <c r="A214" s="112">
        <f>"2/24/2018"+COUNTIFS($B$17:B214,B214)</f>
        <v>43159</v>
      </c>
      <c r="B214" s="40" t="s">
        <v>418</v>
      </c>
      <c r="C214" s="40">
        <v>18151</v>
      </c>
      <c r="D214" s="57">
        <f t="shared" si="19"/>
        <v>370</v>
      </c>
      <c r="E214" s="57">
        <f t="shared" si="19"/>
        <v>15000</v>
      </c>
      <c r="F214" s="60">
        <f t="shared" si="19"/>
        <v>0.05</v>
      </c>
      <c r="G214" s="57">
        <f t="shared" si="20"/>
        <v>527.54999999999995</v>
      </c>
      <c r="I214">
        <f t="shared" si="21"/>
        <v>527.54999999999995</v>
      </c>
      <c r="J214" t="b">
        <f t="shared" si="22"/>
        <v>1</v>
      </c>
    </row>
    <row r="215" spans="1:10" x14ac:dyDescent="0.25">
      <c r="A215" s="112">
        <f>"2/24/2018"+COUNTIFS($B$17:B215,B215)</f>
        <v>43159</v>
      </c>
      <c r="B215" s="40" t="s">
        <v>419</v>
      </c>
      <c r="C215" s="40">
        <v>11697</v>
      </c>
      <c r="D215" s="57">
        <f t="shared" si="19"/>
        <v>130</v>
      </c>
      <c r="E215" s="57">
        <f t="shared" si="19"/>
        <v>9000</v>
      </c>
      <c r="F215" s="60">
        <f t="shared" si="19"/>
        <v>0.04</v>
      </c>
      <c r="G215" s="57">
        <f t="shared" si="20"/>
        <v>237.88</v>
      </c>
      <c r="I215">
        <f t="shared" si="21"/>
        <v>237.88</v>
      </c>
      <c r="J215" t="b">
        <f t="shared" si="22"/>
        <v>1</v>
      </c>
    </row>
    <row r="216" spans="1:10" x14ac:dyDescent="0.25">
      <c r="A216" s="112">
        <f>"2/24/2018"+COUNTIFS($B$17:B216,B216)</f>
        <v>43159</v>
      </c>
      <c r="B216" s="40" t="s">
        <v>420</v>
      </c>
      <c r="C216" s="40">
        <v>13993</v>
      </c>
      <c r="D216" s="57">
        <f t="shared" si="19"/>
        <v>130</v>
      </c>
      <c r="E216" s="57">
        <f t="shared" si="19"/>
        <v>9000</v>
      </c>
      <c r="F216" s="60">
        <f t="shared" si="19"/>
        <v>0.04</v>
      </c>
      <c r="G216" s="57">
        <f t="shared" si="20"/>
        <v>329.72</v>
      </c>
      <c r="I216">
        <f t="shared" si="21"/>
        <v>329.72</v>
      </c>
      <c r="J216" t="b">
        <f t="shared" si="22"/>
        <v>1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AFE92-D5D5-4814-BE20-D545A467373D}">
  <sheetPr>
    <tabColor rgb="FF0000FF"/>
  </sheetPr>
  <dimension ref="A1:E16"/>
  <sheetViews>
    <sheetView zoomScale="115" zoomScaleNormal="115" workbookViewId="0">
      <selection activeCell="B16" sqref="B16"/>
    </sheetView>
  </sheetViews>
  <sheetFormatPr defaultRowHeight="15" x14ac:dyDescent="0.25"/>
  <cols>
    <col min="1" max="1" width="30.85546875" customWidth="1"/>
    <col min="2" max="2" width="17" customWidth="1"/>
    <col min="3" max="3" width="2" customWidth="1"/>
    <col min="4" max="4" width="36.5703125" bestFit="1" customWidth="1"/>
    <col min="5" max="5" width="6.85546875" customWidth="1"/>
    <col min="6" max="6" width="16.42578125" bestFit="1" customWidth="1"/>
  </cols>
  <sheetData>
    <row r="1" spans="1:5" x14ac:dyDescent="0.25">
      <c r="A1" s="48" t="s">
        <v>441</v>
      </c>
      <c r="B1" s="42"/>
      <c r="C1" s="42"/>
      <c r="D1" s="42"/>
      <c r="E1" s="43"/>
    </row>
    <row r="2" spans="1:5" x14ac:dyDescent="0.25">
      <c r="A2" s="124" t="s">
        <v>273</v>
      </c>
      <c r="B2" s="44"/>
      <c r="C2" s="44"/>
      <c r="D2" s="44"/>
      <c r="E2" s="45"/>
    </row>
    <row r="3" spans="1:5" x14ac:dyDescent="0.25">
      <c r="A3" s="62" t="s">
        <v>442</v>
      </c>
      <c r="B3" s="44"/>
      <c r="C3" s="44"/>
      <c r="D3" s="44"/>
      <c r="E3" s="45"/>
    </row>
    <row r="4" spans="1:5" x14ac:dyDescent="0.25">
      <c r="A4" s="125" t="s">
        <v>274</v>
      </c>
      <c r="B4" s="44"/>
      <c r="C4" s="44"/>
      <c r="D4" s="44"/>
      <c r="E4" s="45"/>
    </row>
    <row r="5" spans="1:5" x14ac:dyDescent="0.25">
      <c r="A5" s="128" t="s">
        <v>275</v>
      </c>
      <c r="B5" s="44"/>
      <c r="C5" s="44"/>
      <c r="E5" s="45"/>
    </row>
    <row r="6" spans="1:5" x14ac:dyDescent="0.25">
      <c r="A6" s="58" t="s">
        <v>276</v>
      </c>
      <c r="B6" s="44"/>
      <c r="C6" s="44"/>
      <c r="E6" s="45"/>
    </row>
    <row r="7" spans="1:5" x14ac:dyDescent="0.25">
      <c r="A7" s="58" t="s">
        <v>277</v>
      </c>
      <c r="B7" s="44"/>
      <c r="C7" s="44"/>
      <c r="E7" s="45"/>
    </row>
    <row r="8" spans="1:5" x14ac:dyDescent="0.25">
      <c r="A8" s="58" t="s">
        <v>278</v>
      </c>
      <c r="B8" s="44"/>
      <c r="C8" s="44"/>
      <c r="E8" s="45"/>
    </row>
    <row r="9" spans="1:5" x14ac:dyDescent="0.25">
      <c r="A9" s="58" t="s">
        <v>284</v>
      </c>
      <c r="B9" s="44"/>
      <c r="C9" s="44"/>
      <c r="E9" s="45"/>
    </row>
    <row r="10" spans="1:5" x14ac:dyDescent="0.25">
      <c r="A10" s="58" t="s">
        <v>279</v>
      </c>
      <c r="B10" s="44"/>
      <c r="C10" s="44"/>
      <c r="E10" s="45"/>
    </row>
    <row r="11" spans="1:5" x14ac:dyDescent="0.25">
      <c r="A11" s="127"/>
      <c r="B11" s="46"/>
      <c r="C11" s="46"/>
      <c r="D11" s="46"/>
      <c r="E11" s="47"/>
    </row>
    <row r="13" spans="1:5" x14ac:dyDescent="0.25">
      <c r="A13" s="51" t="s">
        <v>213</v>
      </c>
      <c r="B13" s="111" t="s">
        <v>443</v>
      </c>
    </row>
    <row r="14" spans="1:5" x14ac:dyDescent="0.25">
      <c r="A14" s="51" t="s">
        <v>212</v>
      </c>
      <c r="B14" s="111">
        <v>1000</v>
      </c>
    </row>
    <row r="15" spans="1:5" x14ac:dyDescent="0.25">
      <c r="A15" s="51" t="str">
        <f>B13&amp;"'s Sales for month:"</f>
        <v>Cyntia Trebble's Sales for month:</v>
      </c>
      <c r="B15" s="111">
        <v>118754.2</v>
      </c>
    </row>
    <row r="16" spans="1:5" x14ac:dyDescent="0.25">
      <c r="A16" s="51" t="s">
        <v>110</v>
      </c>
      <c r="B16" s="57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50629-4989-4655-9ECE-1F437F161FCA}">
  <sheetPr>
    <tabColor rgb="FFFF0000"/>
  </sheetPr>
  <dimension ref="A1:E25"/>
  <sheetViews>
    <sheetView zoomScale="115" zoomScaleNormal="115" workbookViewId="0">
      <selection activeCell="H33" sqref="H33"/>
    </sheetView>
  </sheetViews>
  <sheetFormatPr defaultRowHeight="15" x14ac:dyDescent="0.25"/>
  <cols>
    <col min="1" max="1" width="30.85546875" customWidth="1"/>
    <col min="2" max="2" width="17" customWidth="1"/>
    <col min="3" max="3" width="2" customWidth="1"/>
    <col min="4" max="4" width="36.5703125" bestFit="1" customWidth="1"/>
    <col min="5" max="5" width="6.85546875" customWidth="1"/>
    <col min="6" max="6" width="16.42578125" bestFit="1" customWidth="1"/>
  </cols>
  <sheetData>
    <row r="1" spans="1:5" x14ac:dyDescent="0.25">
      <c r="A1" s="48" t="s">
        <v>441</v>
      </c>
      <c r="B1" s="42"/>
      <c r="C1" s="42"/>
      <c r="D1" s="42"/>
      <c r="E1" s="43"/>
    </row>
    <row r="2" spans="1:5" x14ac:dyDescent="0.25">
      <c r="A2" s="124" t="s">
        <v>273</v>
      </c>
      <c r="B2" s="44"/>
      <c r="C2" s="44"/>
      <c r="D2" s="44"/>
      <c r="E2" s="45"/>
    </row>
    <row r="3" spans="1:5" x14ac:dyDescent="0.25">
      <c r="A3" s="62" t="s">
        <v>442</v>
      </c>
      <c r="B3" s="44"/>
      <c r="C3" s="44"/>
      <c r="D3" s="44"/>
      <c r="E3" s="45"/>
    </row>
    <row r="4" spans="1:5" x14ac:dyDescent="0.25">
      <c r="A4" s="125" t="s">
        <v>274</v>
      </c>
      <c r="B4" s="44"/>
      <c r="C4" s="44"/>
      <c r="D4" s="44"/>
      <c r="E4" s="45"/>
    </row>
    <row r="5" spans="1:5" x14ac:dyDescent="0.25">
      <c r="A5" s="128" t="s">
        <v>275</v>
      </c>
      <c r="B5" s="44"/>
      <c r="C5" s="44"/>
      <c r="E5" s="45"/>
    </row>
    <row r="6" spans="1:5" x14ac:dyDescent="0.25">
      <c r="A6" s="58" t="s">
        <v>276</v>
      </c>
      <c r="B6" s="44"/>
      <c r="C6" s="44"/>
      <c r="E6" s="45"/>
    </row>
    <row r="7" spans="1:5" x14ac:dyDescent="0.25">
      <c r="A7" s="58" t="s">
        <v>277</v>
      </c>
      <c r="B7" s="44"/>
      <c r="C7" s="44"/>
      <c r="E7" s="45"/>
    </row>
    <row r="8" spans="1:5" x14ac:dyDescent="0.25">
      <c r="A8" s="58" t="s">
        <v>278</v>
      </c>
      <c r="B8" s="44"/>
      <c r="C8" s="44"/>
      <c r="E8" s="45"/>
    </row>
    <row r="9" spans="1:5" x14ac:dyDescent="0.25">
      <c r="A9" s="58" t="s">
        <v>284</v>
      </c>
      <c r="B9" s="44"/>
      <c r="C9" s="44"/>
      <c r="E9" s="45"/>
    </row>
    <row r="10" spans="1:5" x14ac:dyDescent="0.25">
      <c r="A10" s="58" t="s">
        <v>279</v>
      </c>
      <c r="B10" s="44"/>
      <c r="C10" s="44"/>
      <c r="E10" s="45"/>
    </row>
    <row r="11" spans="1:5" x14ac:dyDescent="0.25">
      <c r="A11" s="127"/>
      <c r="B11" s="46"/>
      <c r="C11" s="46"/>
      <c r="D11" s="46"/>
      <c r="E11" s="47"/>
    </row>
    <row r="13" spans="1:5" x14ac:dyDescent="0.25">
      <c r="A13" s="51" t="s">
        <v>213</v>
      </c>
      <c r="B13" s="111" t="s">
        <v>443</v>
      </c>
    </row>
    <row r="14" spans="1:5" x14ac:dyDescent="0.25">
      <c r="A14" s="51" t="s">
        <v>212</v>
      </c>
      <c r="B14" s="111">
        <v>1000</v>
      </c>
    </row>
    <row r="15" spans="1:5" x14ac:dyDescent="0.25">
      <c r="A15" s="51" t="str">
        <f>B13&amp;"'s Sales for month:"</f>
        <v>Cyntia Trebble's Sales for month:</v>
      </c>
      <c r="B15" s="111">
        <v>118754.2</v>
      </c>
    </row>
    <row r="16" spans="1:5" x14ac:dyDescent="0.25">
      <c r="A16" s="51" t="s">
        <v>110</v>
      </c>
      <c r="B16" s="57">
        <f>VLOOKUP(B15,A19:B25,2)*B15+B14</f>
        <v>6937.71</v>
      </c>
      <c r="D16" t="str">
        <f ca="1">IF(_xlfn.ISFORMULA(B16),""&amp;_xlfn.FORMULATEXT(B16),"")</f>
        <v>=VLOOKUP(B15,A19:B25,2)*B15+B14</v>
      </c>
    </row>
    <row r="18" spans="1:2" x14ac:dyDescent="0.25">
      <c r="A18" s="160" t="s">
        <v>440</v>
      </c>
      <c r="B18" s="161" t="s">
        <v>234</v>
      </c>
    </row>
    <row r="19" spans="1:2" x14ac:dyDescent="0.25">
      <c r="A19" s="159">
        <v>0</v>
      </c>
      <c r="B19" s="162">
        <v>0.01</v>
      </c>
    </row>
    <row r="20" spans="1:2" x14ac:dyDescent="0.25">
      <c r="A20" s="159">
        <v>10000</v>
      </c>
      <c r="B20" s="162">
        <v>1.4999999999999999E-2</v>
      </c>
    </row>
    <row r="21" spans="1:2" x14ac:dyDescent="0.25">
      <c r="A21" s="159">
        <v>30000</v>
      </c>
      <c r="B21" s="162">
        <v>0.02</v>
      </c>
    </row>
    <row r="22" spans="1:2" x14ac:dyDescent="0.25">
      <c r="A22" s="159">
        <v>45000</v>
      </c>
      <c r="B22" s="162">
        <v>3.5000000000000003E-2</v>
      </c>
    </row>
    <row r="23" spans="1:2" x14ac:dyDescent="0.25">
      <c r="A23" s="159">
        <v>75000</v>
      </c>
      <c r="B23" s="162">
        <v>0.05</v>
      </c>
    </row>
    <row r="24" spans="1:2" x14ac:dyDescent="0.25">
      <c r="A24" s="159">
        <v>125000</v>
      </c>
      <c r="B24" s="162">
        <v>6.7500000000000004E-2</v>
      </c>
    </row>
    <row r="25" spans="1:2" x14ac:dyDescent="0.25">
      <c r="A25" s="159">
        <v>150000</v>
      </c>
      <c r="B25" s="162">
        <v>7.4999999999999997E-2</v>
      </c>
    </row>
  </sheetData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0BD10-345D-4BD9-8333-012603694A07}">
  <sheetPr>
    <tabColor rgb="FF0000FF"/>
  </sheetPr>
  <dimension ref="A1:E63"/>
  <sheetViews>
    <sheetView zoomScale="115" zoomScaleNormal="115" workbookViewId="0">
      <selection activeCell="C14" sqref="C14"/>
    </sheetView>
  </sheetViews>
  <sheetFormatPr defaultRowHeight="15" x14ac:dyDescent="0.25"/>
  <cols>
    <col min="1" max="1" width="22.140625" customWidth="1"/>
    <col min="2" max="2" width="17" customWidth="1"/>
    <col min="3" max="3" width="20.28515625" customWidth="1"/>
    <col min="4" max="4" width="36.5703125" bestFit="1" customWidth="1"/>
    <col min="5" max="5" width="6.85546875" customWidth="1"/>
    <col min="6" max="7" width="19.7109375" bestFit="1" customWidth="1"/>
    <col min="8" max="8" width="16.5703125" bestFit="1" customWidth="1"/>
  </cols>
  <sheetData>
    <row r="1" spans="1:5" x14ac:dyDescent="0.25">
      <c r="A1" s="163" t="s">
        <v>497</v>
      </c>
      <c r="B1" s="44"/>
      <c r="C1" s="44"/>
      <c r="D1" s="44"/>
      <c r="E1" s="45"/>
    </row>
    <row r="2" spans="1:5" x14ac:dyDescent="0.25">
      <c r="A2" s="124" t="s">
        <v>273</v>
      </c>
      <c r="B2" s="44"/>
      <c r="C2" s="44"/>
      <c r="D2" s="44"/>
      <c r="E2" s="45"/>
    </row>
    <row r="3" spans="1:5" x14ac:dyDescent="0.25">
      <c r="A3" s="62" t="s">
        <v>444</v>
      </c>
      <c r="B3" s="44"/>
      <c r="C3" s="44"/>
      <c r="D3" s="44"/>
      <c r="E3" s="45"/>
    </row>
    <row r="4" spans="1:5" x14ac:dyDescent="0.25">
      <c r="A4" s="125" t="s">
        <v>445</v>
      </c>
      <c r="B4" s="44"/>
      <c r="C4" s="44"/>
      <c r="D4" s="44"/>
      <c r="E4" s="45"/>
    </row>
    <row r="5" spans="1:5" x14ac:dyDescent="0.25">
      <c r="A5" s="128" t="s">
        <v>275</v>
      </c>
      <c r="B5" s="44"/>
      <c r="C5" s="44"/>
      <c r="D5" s="44"/>
      <c r="E5" s="45"/>
    </row>
    <row r="6" spans="1:5" x14ac:dyDescent="0.25">
      <c r="A6" s="58" t="s">
        <v>276</v>
      </c>
      <c r="B6" s="44"/>
      <c r="C6" s="44"/>
      <c r="D6" s="44"/>
      <c r="E6" s="45"/>
    </row>
    <row r="7" spans="1:5" x14ac:dyDescent="0.25">
      <c r="A7" s="58" t="s">
        <v>277</v>
      </c>
      <c r="B7" s="44"/>
      <c r="C7" s="44"/>
      <c r="D7" s="44"/>
      <c r="E7" s="45"/>
    </row>
    <row r="8" spans="1:5" x14ac:dyDescent="0.25">
      <c r="A8" s="58" t="s">
        <v>278</v>
      </c>
      <c r="B8" s="44"/>
      <c r="C8" s="44"/>
      <c r="D8" s="44"/>
      <c r="E8" s="45"/>
    </row>
    <row r="9" spans="1:5" x14ac:dyDescent="0.25">
      <c r="A9" s="58" t="s">
        <v>284</v>
      </c>
      <c r="B9" s="44"/>
      <c r="C9" s="44"/>
      <c r="D9" s="44"/>
      <c r="E9" s="45"/>
    </row>
    <row r="10" spans="1:5" x14ac:dyDescent="0.25">
      <c r="A10" s="58" t="s">
        <v>279</v>
      </c>
      <c r="B10" s="44"/>
      <c r="C10" s="44"/>
      <c r="D10" s="44"/>
      <c r="E10" s="45"/>
    </row>
    <row r="11" spans="1:5" x14ac:dyDescent="0.25">
      <c r="A11" s="127"/>
      <c r="B11" s="46"/>
      <c r="C11" s="46"/>
      <c r="D11" s="46"/>
      <c r="E11" s="47"/>
    </row>
    <row r="13" spans="1:5" x14ac:dyDescent="0.25">
      <c r="A13" s="51" t="s">
        <v>336</v>
      </c>
      <c r="B13" s="51" t="s">
        <v>446</v>
      </c>
      <c r="C13" s="51" t="s">
        <v>110</v>
      </c>
    </row>
    <row r="14" spans="1:5" x14ac:dyDescent="0.25">
      <c r="A14" s="111" t="s">
        <v>447</v>
      </c>
      <c r="B14" s="113">
        <v>88233.66</v>
      </c>
      <c r="C14" s="60"/>
    </row>
    <row r="15" spans="1:5" x14ac:dyDescent="0.25">
      <c r="A15" s="40" t="s">
        <v>448</v>
      </c>
      <c r="B15" s="113">
        <v>134322.34</v>
      </c>
      <c r="C15" s="60"/>
    </row>
    <row r="16" spans="1:5" x14ac:dyDescent="0.25">
      <c r="A16" s="40" t="s">
        <v>449</v>
      </c>
      <c r="B16" s="113">
        <v>118629.25</v>
      </c>
      <c r="C16" s="60"/>
    </row>
    <row r="17" spans="1:3" x14ac:dyDescent="0.25">
      <c r="A17" s="40" t="s">
        <v>450</v>
      </c>
      <c r="B17" s="113">
        <v>123263.1</v>
      </c>
      <c r="C17" s="60"/>
    </row>
    <row r="18" spans="1:3" x14ac:dyDescent="0.25">
      <c r="A18" s="40" t="s">
        <v>451</v>
      </c>
      <c r="B18" s="113">
        <v>54994.27</v>
      </c>
      <c r="C18" s="60"/>
    </row>
    <row r="19" spans="1:3" x14ac:dyDescent="0.25">
      <c r="A19" s="40" t="s">
        <v>452</v>
      </c>
      <c r="B19" s="113">
        <v>35738.53</v>
      </c>
      <c r="C19" s="60"/>
    </row>
    <row r="20" spans="1:3" x14ac:dyDescent="0.25">
      <c r="A20" s="40" t="s">
        <v>453</v>
      </c>
      <c r="B20" s="113">
        <v>119082.51</v>
      </c>
      <c r="C20" s="60"/>
    </row>
    <row r="21" spans="1:3" x14ac:dyDescent="0.25">
      <c r="A21" s="40" t="s">
        <v>454</v>
      </c>
      <c r="B21" s="113">
        <v>84223.31</v>
      </c>
      <c r="C21" s="60"/>
    </row>
    <row r="22" spans="1:3" x14ac:dyDescent="0.25">
      <c r="A22" s="40" t="s">
        <v>455</v>
      </c>
      <c r="B22" s="113">
        <v>61271.71</v>
      </c>
      <c r="C22" s="60"/>
    </row>
    <row r="23" spans="1:3" x14ac:dyDescent="0.25">
      <c r="A23" s="40" t="s">
        <v>456</v>
      </c>
      <c r="B23" s="113">
        <v>78465.009999999995</v>
      </c>
      <c r="C23" s="60"/>
    </row>
    <row r="24" spans="1:3" x14ac:dyDescent="0.25">
      <c r="A24" s="40" t="s">
        <v>457</v>
      </c>
      <c r="B24" s="113">
        <v>83552.320000000007</v>
      </c>
      <c r="C24" s="60"/>
    </row>
    <row r="25" spans="1:3" x14ac:dyDescent="0.25">
      <c r="A25" s="40" t="s">
        <v>458</v>
      </c>
      <c r="B25" s="113">
        <v>152934.24</v>
      </c>
      <c r="C25" s="60"/>
    </row>
    <row r="26" spans="1:3" x14ac:dyDescent="0.25">
      <c r="A26" s="40" t="s">
        <v>459</v>
      </c>
      <c r="B26" s="113">
        <v>105182.45</v>
      </c>
      <c r="C26" s="60"/>
    </row>
    <row r="27" spans="1:3" x14ac:dyDescent="0.25">
      <c r="A27" s="40" t="s">
        <v>460</v>
      </c>
      <c r="B27" s="113">
        <v>69587.509999999995</v>
      </c>
      <c r="C27" s="60"/>
    </row>
    <row r="28" spans="1:3" x14ac:dyDescent="0.25">
      <c r="A28" s="40" t="s">
        <v>461</v>
      </c>
      <c r="B28" s="113">
        <v>130529.64</v>
      </c>
      <c r="C28" s="60"/>
    </row>
    <row r="29" spans="1:3" x14ac:dyDescent="0.25">
      <c r="A29" s="40" t="s">
        <v>462</v>
      </c>
      <c r="B29" s="113">
        <v>94617.83</v>
      </c>
      <c r="C29" s="60"/>
    </row>
    <row r="30" spans="1:3" x14ac:dyDescent="0.25">
      <c r="A30" s="40" t="s">
        <v>463</v>
      </c>
      <c r="B30" s="113">
        <v>75094.53</v>
      </c>
      <c r="C30" s="60"/>
    </row>
    <row r="31" spans="1:3" x14ac:dyDescent="0.25">
      <c r="A31" s="40" t="s">
        <v>464</v>
      </c>
      <c r="B31" s="113">
        <v>57552.62</v>
      </c>
      <c r="C31" s="60"/>
    </row>
    <row r="32" spans="1:3" x14ac:dyDescent="0.25">
      <c r="A32" s="40" t="s">
        <v>465</v>
      </c>
      <c r="B32" s="113">
        <v>60282.39</v>
      </c>
      <c r="C32" s="60"/>
    </row>
    <row r="33" spans="1:3" x14ac:dyDescent="0.25">
      <c r="A33" s="40" t="s">
        <v>466</v>
      </c>
      <c r="B33" s="113">
        <v>102677.9</v>
      </c>
      <c r="C33" s="60"/>
    </row>
    <row r="34" spans="1:3" x14ac:dyDescent="0.25">
      <c r="A34" s="40" t="s">
        <v>467</v>
      </c>
      <c r="B34" s="113">
        <v>100501.27</v>
      </c>
      <c r="C34" s="60"/>
    </row>
    <row r="35" spans="1:3" x14ac:dyDescent="0.25">
      <c r="A35" s="40" t="s">
        <v>468</v>
      </c>
      <c r="B35" s="113">
        <v>142375.97</v>
      </c>
      <c r="C35" s="60"/>
    </row>
    <row r="36" spans="1:3" x14ac:dyDescent="0.25">
      <c r="A36" s="40" t="s">
        <v>469</v>
      </c>
      <c r="B36" s="113">
        <v>41666.839999999997</v>
      </c>
      <c r="C36" s="60"/>
    </row>
    <row r="37" spans="1:3" x14ac:dyDescent="0.25">
      <c r="A37" s="40" t="s">
        <v>470</v>
      </c>
      <c r="B37" s="113">
        <v>40960.959999999999</v>
      </c>
      <c r="C37" s="60"/>
    </row>
    <row r="38" spans="1:3" x14ac:dyDescent="0.25">
      <c r="A38" s="40" t="s">
        <v>471</v>
      </c>
      <c r="B38" s="113">
        <v>64595.76</v>
      </c>
      <c r="C38" s="60"/>
    </row>
    <row r="39" spans="1:3" x14ac:dyDescent="0.25">
      <c r="A39" s="40" t="s">
        <v>472</v>
      </c>
      <c r="B39" s="113">
        <v>136464.54999999999</v>
      </c>
      <c r="C39" s="60"/>
    </row>
    <row r="40" spans="1:3" x14ac:dyDescent="0.25">
      <c r="A40" s="40" t="s">
        <v>473</v>
      </c>
      <c r="B40" s="113">
        <v>145669.9</v>
      </c>
      <c r="C40" s="60"/>
    </row>
    <row r="41" spans="1:3" x14ac:dyDescent="0.25">
      <c r="A41" s="40" t="s">
        <v>474</v>
      </c>
      <c r="B41" s="113">
        <v>103214.36</v>
      </c>
      <c r="C41" s="60"/>
    </row>
    <row r="42" spans="1:3" x14ac:dyDescent="0.25">
      <c r="A42" s="40" t="s">
        <v>475</v>
      </c>
      <c r="B42" s="113">
        <v>148992.47</v>
      </c>
      <c r="C42" s="60"/>
    </row>
    <row r="43" spans="1:3" x14ac:dyDescent="0.25">
      <c r="A43" s="40" t="s">
        <v>476</v>
      </c>
      <c r="B43" s="113">
        <v>54316.45</v>
      </c>
      <c r="C43" s="60"/>
    </row>
    <row r="44" spans="1:3" x14ac:dyDescent="0.25">
      <c r="A44" s="40" t="s">
        <v>477</v>
      </c>
      <c r="B44" s="113">
        <v>137388.18</v>
      </c>
      <c r="C44" s="60"/>
    </row>
    <row r="45" spans="1:3" x14ac:dyDescent="0.25">
      <c r="A45" s="40" t="s">
        <v>478</v>
      </c>
      <c r="B45" s="113">
        <v>98765.81</v>
      </c>
      <c r="C45" s="60"/>
    </row>
    <row r="46" spans="1:3" x14ac:dyDescent="0.25">
      <c r="A46" s="40" t="s">
        <v>479</v>
      </c>
      <c r="B46" s="113">
        <v>123565.79</v>
      </c>
      <c r="C46" s="60"/>
    </row>
    <row r="47" spans="1:3" x14ac:dyDescent="0.25">
      <c r="A47" s="40" t="s">
        <v>480</v>
      </c>
      <c r="B47" s="113">
        <v>76288.03</v>
      </c>
      <c r="C47" s="60"/>
    </row>
    <row r="48" spans="1:3" x14ac:dyDescent="0.25">
      <c r="A48" s="40" t="s">
        <v>481</v>
      </c>
      <c r="B48" s="113">
        <v>94650.29</v>
      </c>
      <c r="C48" s="60"/>
    </row>
    <row r="49" spans="1:3" x14ac:dyDescent="0.25">
      <c r="A49" s="40" t="s">
        <v>482</v>
      </c>
      <c r="B49" s="113">
        <v>48131.53</v>
      </c>
      <c r="C49" s="60"/>
    </row>
    <row r="50" spans="1:3" x14ac:dyDescent="0.25">
      <c r="A50" s="40" t="s">
        <v>483</v>
      </c>
      <c r="B50" s="113">
        <v>121242.66</v>
      </c>
      <c r="C50" s="60"/>
    </row>
    <row r="51" spans="1:3" x14ac:dyDescent="0.25">
      <c r="A51" s="40" t="s">
        <v>484</v>
      </c>
      <c r="B51" s="113">
        <v>74128.08</v>
      </c>
      <c r="C51" s="60"/>
    </row>
    <row r="52" spans="1:3" x14ac:dyDescent="0.25">
      <c r="A52" s="40" t="s">
        <v>485</v>
      </c>
      <c r="B52" s="113">
        <v>49101.88</v>
      </c>
      <c r="C52" s="60"/>
    </row>
    <row r="53" spans="1:3" x14ac:dyDescent="0.25">
      <c r="A53" s="40" t="s">
        <v>486</v>
      </c>
      <c r="B53" s="113">
        <v>155187.24</v>
      </c>
      <c r="C53" s="60"/>
    </row>
    <row r="54" spans="1:3" x14ac:dyDescent="0.25">
      <c r="A54" s="40" t="s">
        <v>487</v>
      </c>
      <c r="B54" s="113">
        <v>135104.65</v>
      </c>
      <c r="C54" s="60"/>
    </row>
    <row r="55" spans="1:3" x14ac:dyDescent="0.25">
      <c r="A55" s="40" t="s">
        <v>488</v>
      </c>
      <c r="B55" s="113">
        <v>151872.49</v>
      </c>
      <c r="C55" s="60"/>
    </row>
    <row r="56" spans="1:3" x14ac:dyDescent="0.25">
      <c r="A56" s="40" t="s">
        <v>489</v>
      </c>
      <c r="B56" s="113">
        <v>136521.99</v>
      </c>
      <c r="C56" s="60"/>
    </row>
    <row r="57" spans="1:3" x14ac:dyDescent="0.25">
      <c r="A57" s="40" t="s">
        <v>490</v>
      </c>
      <c r="B57" s="113">
        <v>129182.18</v>
      </c>
      <c r="C57" s="60"/>
    </row>
    <row r="58" spans="1:3" x14ac:dyDescent="0.25">
      <c r="A58" s="40" t="s">
        <v>491</v>
      </c>
      <c r="B58" s="113">
        <v>129207.84</v>
      </c>
      <c r="C58" s="60"/>
    </row>
    <row r="59" spans="1:3" x14ac:dyDescent="0.25">
      <c r="A59" s="40" t="s">
        <v>492</v>
      </c>
      <c r="B59" s="113">
        <v>85828.39</v>
      </c>
      <c r="C59" s="60"/>
    </row>
    <row r="60" spans="1:3" x14ac:dyDescent="0.25">
      <c r="A60" s="40" t="s">
        <v>493</v>
      </c>
      <c r="B60" s="113">
        <v>135183.03</v>
      </c>
      <c r="C60" s="60"/>
    </row>
    <row r="61" spans="1:3" x14ac:dyDescent="0.25">
      <c r="A61" s="40" t="s">
        <v>494</v>
      </c>
      <c r="B61" s="113">
        <v>107056.79</v>
      </c>
      <c r="C61" s="60"/>
    </row>
    <row r="62" spans="1:3" x14ac:dyDescent="0.25">
      <c r="A62" s="40" t="s">
        <v>495</v>
      </c>
      <c r="B62" s="113">
        <v>140899.06</v>
      </c>
      <c r="C62" s="60"/>
    </row>
    <row r="63" spans="1:3" x14ac:dyDescent="0.25">
      <c r="A63" s="40" t="s">
        <v>496</v>
      </c>
      <c r="B63" s="113">
        <v>130433.62</v>
      </c>
      <c r="C63" s="60"/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4DCA5-154B-4FF8-A273-D64C75D76002}">
  <sheetPr>
    <tabColor rgb="FFFF0000"/>
  </sheetPr>
  <dimension ref="A1:G65"/>
  <sheetViews>
    <sheetView zoomScale="115" zoomScaleNormal="115" workbookViewId="0">
      <selection activeCell="F4" sqref="F4"/>
    </sheetView>
  </sheetViews>
  <sheetFormatPr defaultRowHeight="15" x14ac:dyDescent="0.25"/>
  <cols>
    <col min="1" max="1" width="22.140625" customWidth="1"/>
    <col min="2" max="2" width="17" customWidth="1"/>
    <col min="3" max="3" width="20.28515625" customWidth="1"/>
    <col min="4" max="4" width="36.5703125" bestFit="1" customWidth="1"/>
    <col min="5" max="5" width="6.85546875" customWidth="1"/>
    <col min="6" max="7" width="19.7109375" bestFit="1" customWidth="1"/>
    <col min="8" max="8" width="16.5703125" bestFit="1" customWidth="1"/>
  </cols>
  <sheetData>
    <row r="1" spans="1:5" x14ac:dyDescent="0.25">
      <c r="A1" s="163" t="s">
        <v>497</v>
      </c>
      <c r="B1" s="44"/>
      <c r="C1" s="44"/>
      <c r="D1" s="42"/>
      <c r="E1" s="43"/>
    </row>
    <row r="2" spans="1:5" x14ac:dyDescent="0.25">
      <c r="A2" s="124" t="s">
        <v>273</v>
      </c>
      <c r="B2" s="44"/>
      <c r="C2" s="44"/>
      <c r="D2" s="44"/>
      <c r="E2" s="45"/>
    </row>
    <row r="3" spans="1:5" x14ac:dyDescent="0.25">
      <c r="A3" s="62" t="s">
        <v>444</v>
      </c>
      <c r="B3" s="44"/>
      <c r="C3" s="44"/>
      <c r="D3" s="44"/>
      <c r="E3" s="45"/>
    </row>
    <row r="4" spans="1:5" x14ac:dyDescent="0.25">
      <c r="A4" s="125" t="s">
        <v>445</v>
      </c>
      <c r="B4" s="44"/>
      <c r="C4" s="44"/>
      <c r="D4" s="44"/>
      <c r="E4" s="45"/>
    </row>
    <row r="5" spans="1:5" x14ac:dyDescent="0.25">
      <c r="A5" s="128" t="s">
        <v>275</v>
      </c>
      <c r="B5" s="44"/>
      <c r="C5" s="44"/>
      <c r="D5" s="44"/>
      <c r="E5" s="45"/>
    </row>
    <row r="6" spans="1:5" x14ac:dyDescent="0.25">
      <c r="A6" s="58" t="s">
        <v>276</v>
      </c>
      <c r="B6" s="44"/>
      <c r="C6" s="44"/>
      <c r="D6" s="44"/>
      <c r="E6" s="45"/>
    </row>
    <row r="7" spans="1:5" x14ac:dyDescent="0.25">
      <c r="A7" s="58" t="s">
        <v>277</v>
      </c>
      <c r="B7" s="44"/>
      <c r="C7" s="44"/>
      <c r="D7" s="44"/>
      <c r="E7" s="45"/>
    </row>
    <row r="8" spans="1:5" x14ac:dyDescent="0.25">
      <c r="A8" s="58" t="s">
        <v>278</v>
      </c>
      <c r="B8" s="44"/>
      <c r="C8" s="44"/>
      <c r="D8" s="44"/>
      <c r="E8" s="45"/>
    </row>
    <row r="9" spans="1:5" x14ac:dyDescent="0.25">
      <c r="A9" s="58" t="s">
        <v>284</v>
      </c>
      <c r="B9" s="44"/>
      <c r="C9" s="44"/>
      <c r="D9" s="44"/>
      <c r="E9" s="45"/>
    </row>
    <row r="10" spans="1:5" x14ac:dyDescent="0.25">
      <c r="A10" s="58" t="s">
        <v>279</v>
      </c>
      <c r="B10" s="44"/>
      <c r="C10" s="44"/>
      <c r="D10" s="44"/>
      <c r="E10" s="45"/>
    </row>
    <row r="11" spans="1:5" x14ac:dyDescent="0.25">
      <c r="A11" s="127"/>
      <c r="B11" s="46"/>
      <c r="C11" s="46"/>
      <c r="D11" s="46"/>
      <c r="E11" s="47"/>
    </row>
    <row r="13" spans="1:5" x14ac:dyDescent="0.25">
      <c r="A13" s="51" t="s">
        <v>336</v>
      </c>
      <c r="B13" s="51" t="s">
        <v>446</v>
      </c>
      <c r="C13" s="51" t="s">
        <v>110</v>
      </c>
    </row>
    <row r="14" spans="1:5" x14ac:dyDescent="0.25">
      <c r="A14" s="111" t="s">
        <v>447</v>
      </c>
      <c r="B14" s="113">
        <v>88233.66</v>
      </c>
      <c r="C14" s="60">
        <f>ROUND(VLOOKUP(B14,$F$18:$G$24,2)*B14,2)</f>
        <v>5514.6</v>
      </c>
      <c r="E14" t="str">
        <f ca="1">IF(_xlfn.ISFORMULA(C14),""&amp;_xlfn.FORMULATEXT(C14),"")</f>
        <v>=ROUND(VLOOKUP(B14,$F$18:$G$24,2)*B14,2)</v>
      </c>
    </row>
    <row r="15" spans="1:5" x14ac:dyDescent="0.25">
      <c r="A15" s="40" t="s">
        <v>448</v>
      </c>
      <c r="B15" s="113">
        <v>134322.34</v>
      </c>
      <c r="C15" s="60">
        <f t="shared" ref="C15:C63" si="0">ROUND(VLOOKUP(B15,$F$18:$G$24,2)*B15,2)</f>
        <v>10745.79</v>
      </c>
    </row>
    <row r="16" spans="1:5" x14ac:dyDescent="0.25">
      <c r="A16" s="40" t="s">
        <v>449</v>
      </c>
      <c r="B16" s="113">
        <v>118629.25</v>
      </c>
      <c r="C16" s="60">
        <f t="shared" si="0"/>
        <v>7414.33</v>
      </c>
    </row>
    <row r="17" spans="1:7" x14ac:dyDescent="0.25">
      <c r="A17" s="40" t="s">
        <v>450</v>
      </c>
      <c r="B17" s="113">
        <v>123263.1</v>
      </c>
      <c r="C17" s="60">
        <f t="shared" si="0"/>
        <v>7703.94</v>
      </c>
      <c r="F17" s="140" t="s">
        <v>440</v>
      </c>
      <c r="G17" s="164" t="s">
        <v>234</v>
      </c>
    </row>
    <row r="18" spans="1:7" x14ac:dyDescent="0.25">
      <c r="A18" s="40" t="s">
        <v>451</v>
      </c>
      <c r="B18" s="113">
        <v>54994.27</v>
      </c>
      <c r="C18" s="60">
        <f t="shared" si="0"/>
        <v>2612.23</v>
      </c>
      <c r="F18" s="159">
        <v>0</v>
      </c>
      <c r="G18" s="105">
        <v>2.2499999999999999E-2</v>
      </c>
    </row>
    <row r="19" spans="1:7" x14ac:dyDescent="0.25">
      <c r="A19" s="40" t="s">
        <v>452</v>
      </c>
      <c r="B19" s="113">
        <v>35738.53</v>
      </c>
      <c r="C19" s="60">
        <f t="shared" si="0"/>
        <v>1161.5</v>
      </c>
      <c r="F19" s="159">
        <v>10000</v>
      </c>
      <c r="G19" s="105">
        <v>2.7499999999999997E-2</v>
      </c>
    </row>
    <row r="20" spans="1:7" x14ac:dyDescent="0.25">
      <c r="A20" s="40" t="s">
        <v>453</v>
      </c>
      <c r="B20" s="113">
        <v>119082.51</v>
      </c>
      <c r="C20" s="60">
        <f t="shared" si="0"/>
        <v>7442.66</v>
      </c>
      <c r="F20" s="159">
        <v>30000</v>
      </c>
      <c r="G20" s="105">
        <v>3.2500000000000001E-2</v>
      </c>
    </row>
    <row r="21" spans="1:7" x14ac:dyDescent="0.25">
      <c r="A21" s="40" t="s">
        <v>454</v>
      </c>
      <c r="B21" s="113">
        <v>84223.31</v>
      </c>
      <c r="C21" s="60">
        <f t="shared" si="0"/>
        <v>5263.96</v>
      </c>
      <c r="F21" s="159">
        <v>45000</v>
      </c>
      <c r="G21" s="105">
        <v>4.7500000000000001E-2</v>
      </c>
    </row>
    <row r="22" spans="1:7" x14ac:dyDescent="0.25">
      <c r="A22" s="40" t="s">
        <v>455</v>
      </c>
      <c r="B22" s="113">
        <v>61271.71</v>
      </c>
      <c r="C22" s="60">
        <f t="shared" si="0"/>
        <v>2910.41</v>
      </c>
      <c r="F22" s="159">
        <v>75000</v>
      </c>
      <c r="G22" s="105">
        <v>6.25E-2</v>
      </c>
    </row>
    <row r="23" spans="1:7" x14ac:dyDescent="0.25">
      <c r="A23" s="40" t="s">
        <v>456</v>
      </c>
      <c r="B23" s="113">
        <v>78465.009999999995</v>
      </c>
      <c r="C23" s="60">
        <f t="shared" si="0"/>
        <v>4904.0600000000004</v>
      </c>
      <c r="F23" s="159">
        <v>125000</v>
      </c>
      <c r="G23" s="105">
        <v>0.08</v>
      </c>
    </row>
    <row r="24" spans="1:7" x14ac:dyDescent="0.25">
      <c r="A24" s="40" t="s">
        <v>457</v>
      </c>
      <c r="B24" s="113">
        <v>83552.320000000007</v>
      </c>
      <c r="C24" s="60">
        <f t="shared" si="0"/>
        <v>5222.0200000000004</v>
      </c>
      <c r="F24" s="159">
        <v>150000</v>
      </c>
      <c r="G24" s="105">
        <v>8.7499999999999994E-2</v>
      </c>
    </row>
    <row r="25" spans="1:7" x14ac:dyDescent="0.25">
      <c r="A25" s="40" t="s">
        <v>458</v>
      </c>
      <c r="B25" s="113">
        <v>152934.24</v>
      </c>
      <c r="C25" s="60">
        <f t="shared" si="0"/>
        <v>13381.75</v>
      </c>
    </row>
    <row r="26" spans="1:7" x14ac:dyDescent="0.25">
      <c r="A26" s="40" t="s">
        <v>459</v>
      </c>
      <c r="B26" s="113">
        <v>105182.45</v>
      </c>
      <c r="C26" s="60">
        <f t="shared" si="0"/>
        <v>6573.9</v>
      </c>
    </row>
    <row r="27" spans="1:7" x14ac:dyDescent="0.25">
      <c r="A27" s="40" t="s">
        <v>460</v>
      </c>
      <c r="B27" s="113">
        <v>69587.509999999995</v>
      </c>
      <c r="C27" s="60">
        <f t="shared" si="0"/>
        <v>3305.41</v>
      </c>
    </row>
    <row r="28" spans="1:7" x14ac:dyDescent="0.25">
      <c r="A28" s="40" t="s">
        <v>461</v>
      </c>
      <c r="B28" s="113">
        <v>130529.64</v>
      </c>
      <c r="C28" s="60">
        <f t="shared" si="0"/>
        <v>10442.370000000001</v>
      </c>
    </row>
    <row r="29" spans="1:7" x14ac:dyDescent="0.25">
      <c r="A29" s="40" t="s">
        <v>462</v>
      </c>
      <c r="B29" s="113">
        <v>94617.83</v>
      </c>
      <c r="C29" s="60">
        <f t="shared" si="0"/>
        <v>5913.61</v>
      </c>
    </row>
    <row r="30" spans="1:7" x14ac:dyDescent="0.25">
      <c r="A30" s="40" t="s">
        <v>463</v>
      </c>
      <c r="B30" s="113">
        <v>75094.53</v>
      </c>
      <c r="C30" s="60">
        <f t="shared" si="0"/>
        <v>4693.41</v>
      </c>
    </row>
    <row r="31" spans="1:7" x14ac:dyDescent="0.25">
      <c r="A31" s="40" t="s">
        <v>464</v>
      </c>
      <c r="B31" s="113">
        <v>57552.62</v>
      </c>
      <c r="C31" s="60">
        <f t="shared" si="0"/>
        <v>2733.75</v>
      </c>
    </row>
    <row r="32" spans="1:7" x14ac:dyDescent="0.25">
      <c r="A32" s="40" t="s">
        <v>465</v>
      </c>
      <c r="B32" s="113">
        <v>60282.39</v>
      </c>
      <c r="C32" s="60">
        <f t="shared" si="0"/>
        <v>2863.41</v>
      </c>
    </row>
    <row r="33" spans="1:3" x14ac:dyDescent="0.25">
      <c r="A33" s="40" t="s">
        <v>466</v>
      </c>
      <c r="B33" s="113">
        <v>102677.9</v>
      </c>
      <c r="C33" s="60">
        <f t="shared" si="0"/>
        <v>6417.37</v>
      </c>
    </row>
    <row r="34" spans="1:3" x14ac:dyDescent="0.25">
      <c r="A34" s="40" t="s">
        <v>467</v>
      </c>
      <c r="B34" s="113">
        <v>100501.27</v>
      </c>
      <c r="C34" s="60">
        <f t="shared" si="0"/>
        <v>6281.33</v>
      </c>
    </row>
    <row r="35" spans="1:3" x14ac:dyDescent="0.25">
      <c r="A35" s="40" t="s">
        <v>468</v>
      </c>
      <c r="B35" s="113">
        <v>142375.97</v>
      </c>
      <c r="C35" s="60">
        <f t="shared" si="0"/>
        <v>11390.08</v>
      </c>
    </row>
    <row r="36" spans="1:3" x14ac:dyDescent="0.25">
      <c r="A36" s="40" t="s">
        <v>469</v>
      </c>
      <c r="B36" s="113">
        <v>41666.839999999997</v>
      </c>
      <c r="C36" s="60">
        <f t="shared" si="0"/>
        <v>1354.17</v>
      </c>
    </row>
    <row r="37" spans="1:3" x14ac:dyDescent="0.25">
      <c r="A37" s="40" t="s">
        <v>470</v>
      </c>
      <c r="B37" s="113">
        <v>40960.959999999999</v>
      </c>
      <c r="C37" s="60">
        <f t="shared" si="0"/>
        <v>1331.23</v>
      </c>
    </row>
    <row r="38" spans="1:3" x14ac:dyDescent="0.25">
      <c r="A38" s="40" t="s">
        <v>471</v>
      </c>
      <c r="B38" s="113">
        <v>64595.76</v>
      </c>
      <c r="C38" s="60">
        <f t="shared" si="0"/>
        <v>3068.3</v>
      </c>
    </row>
    <row r="39" spans="1:3" x14ac:dyDescent="0.25">
      <c r="A39" s="40" t="s">
        <v>472</v>
      </c>
      <c r="B39" s="113">
        <v>136464.54999999999</v>
      </c>
      <c r="C39" s="60">
        <f t="shared" si="0"/>
        <v>10917.16</v>
      </c>
    </row>
    <row r="40" spans="1:3" x14ac:dyDescent="0.25">
      <c r="A40" s="40" t="s">
        <v>473</v>
      </c>
      <c r="B40" s="113">
        <v>145669.9</v>
      </c>
      <c r="C40" s="60">
        <f t="shared" si="0"/>
        <v>11653.59</v>
      </c>
    </row>
    <row r="41" spans="1:3" x14ac:dyDescent="0.25">
      <c r="A41" s="40" t="s">
        <v>474</v>
      </c>
      <c r="B41" s="113">
        <v>103214.36</v>
      </c>
      <c r="C41" s="60">
        <f t="shared" si="0"/>
        <v>6450.9</v>
      </c>
    </row>
    <row r="42" spans="1:3" x14ac:dyDescent="0.25">
      <c r="A42" s="40" t="s">
        <v>475</v>
      </c>
      <c r="B42" s="113">
        <v>148992.47</v>
      </c>
      <c r="C42" s="60">
        <f t="shared" si="0"/>
        <v>11919.4</v>
      </c>
    </row>
    <row r="43" spans="1:3" x14ac:dyDescent="0.25">
      <c r="A43" s="40" t="s">
        <v>476</v>
      </c>
      <c r="B43" s="113">
        <v>54316.45</v>
      </c>
      <c r="C43" s="60">
        <f t="shared" si="0"/>
        <v>2580.0300000000002</v>
      </c>
    </row>
    <row r="44" spans="1:3" x14ac:dyDescent="0.25">
      <c r="A44" s="40" t="s">
        <v>477</v>
      </c>
      <c r="B44" s="113">
        <v>137388.18</v>
      </c>
      <c r="C44" s="60">
        <f t="shared" si="0"/>
        <v>10991.05</v>
      </c>
    </row>
    <row r="45" spans="1:3" x14ac:dyDescent="0.25">
      <c r="A45" s="40" t="s">
        <v>478</v>
      </c>
      <c r="B45" s="113">
        <v>98765.81</v>
      </c>
      <c r="C45" s="60">
        <f t="shared" si="0"/>
        <v>6172.86</v>
      </c>
    </row>
    <row r="46" spans="1:3" x14ac:dyDescent="0.25">
      <c r="A46" s="40" t="s">
        <v>479</v>
      </c>
      <c r="B46" s="113">
        <v>123565.79</v>
      </c>
      <c r="C46" s="60">
        <f t="shared" si="0"/>
        <v>7722.86</v>
      </c>
    </row>
    <row r="47" spans="1:3" x14ac:dyDescent="0.25">
      <c r="A47" s="40" t="s">
        <v>480</v>
      </c>
      <c r="B47" s="113">
        <v>76288.03</v>
      </c>
      <c r="C47" s="60">
        <f t="shared" si="0"/>
        <v>4768</v>
      </c>
    </row>
    <row r="48" spans="1:3" x14ac:dyDescent="0.25">
      <c r="A48" s="40" t="s">
        <v>481</v>
      </c>
      <c r="B48" s="113">
        <v>94650.29</v>
      </c>
      <c r="C48" s="60">
        <f t="shared" si="0"/>
        <v>5915.64</v>
      </c>
    </row>
    <row r="49" spans="1:3" x14ac:dyDescent="0.25">
      <c r="A49" s="40" t="s">
        <v>482</v>
      </c>
      <c r="B49" s="113">
        <v>48131.53</v>
      </c>
      <c r="C49" s="60">
        <f t="shared" si="0"/>
        <v>2286.25</v>
      </c>
    </row>
    <row r="50" spans="1:3" x14ac:dyDescent="0.25">
      <c r="A50" s="40" t="s">
        <v>483</v>
      </c>
      <c r="B50" s="113">
        <v>121242.66</v>
      </c>
      <c r="C50" s="60">
        <f t="shared" si="0"/>
        <v>7577.67</v>
      </c>
    </row>
    <row r="51" spans="1:3" x14ac:dyDescent="0.25">
      <c r="A51" s="40" t="s">
        <v>484</v>
      </c>
      <c r="B51" s="113">
        <v>74128.08</v>
      </c>
      <c r="C51" s="60">
        <f t="shared" si="0"/>
        <v>3521.08</v>
      </c>
    </row>
    <row r="52" spans="1:3" x14ac:dyDescent="0.25">
      <c r="A52" s="40" t="s">
        <v>485</v>
      </c>
      <c r="B52" s="113">
        <v>49101.88</v>
      </c>
      <c r="C52" s="60">
        <f t="shared" si="0"/>
        <v>2332.34</v>
      </c>
    </row>
    <row r="53" spans="1:3" x14ac:dyDescent="0.25">
      <c r="A53" s="40" t="s">
        <v>486</v>
      </c>
      <c r="B53" s="113">
        <v>155187.24</v>
      </c>
      <c r="C53" s="60">
        <f t="shared" si="0"/>
        <v>13578.88</v>
      </c>
    </row>
    <row r="54" spans="1:3" x14ac:dyDescent="0.25">
      <c r="A54" s="40" t="s">
        <v>487</v>
      </c>
      <c r="B54" s="113">
        <v>135104.65</v>
      </c>
      <c r="C54" s="60">
        <f t="shared" si="0"/>
        <v>10808.37</v>
      </c>
    </row>
    <row r="55" spans="1:3" x14ac:dyDescent="0.25">
      <c r="A55" s="40" t="s">
        <v>488</v>
      </c>
      <c r="B55" s="113">
        <v>151872.49</v>
      </c>
      <c r="C55" s="60">
        <f t="shared" si="0"/>
        <v>13288.84</v>
      </c>
    </row>
    <row r="56" spans="1:3" x14ac:dyDescent="0.25">
      <c r="A56" s="40" t="s">
        <v>489</v>
      </c>
      <c r="B56" s="113">
        <v>136521.99</v>
      </c>
      <c r="C56" s="60">
        <f t="shared" si="0"/>
        <v>10921.76</v>
      </c>
    </row>
    <row r="57" spans="1:3" x14ac:dyDescent="0.25">
      <c r="A57" s="40" t="s">
        <v>490</v>
      </c>
      <c r="B57" s="113">
        <v>129182.18</v>
      </c>
      <c r="C57" s="60">
        <f t="shared" si="0"/>
        <v>10334.57</v>
      </c>
    </row>
    <row r="58" spans="1:3" x14ac:dyDescent="0.25">
      <c r="A58" s="40" t="s">
        <v>491</v>
      </c>
      <c r="B58" s="113">
        <v>129207.84</v>
      </c>
      <c r="C58" s="60">
        <f t="shared" si="0"/>
        <v>10336.629999999999</v>
      </c>
    </row>
    <row r="59" spans="1:3" x14ac:dyDescent="0.25">
      <c r="A59" s="40" t="s">
        <v>492</v>
      </c>
      <c r="B59" s="113">
        <v>85828.39</v>
      </c>
      <c r="C59" s="60">
        <f t="shared" si="0"/>
        <v>5364.27</v>
      </c>
    </row>
    <row r="60" spans="1:3" x14ac:dyDescent="0.25">
      <c r="A60" s="40" t="s">
        <v>493</v>
      </c>
      <c r="B60" s="113">
        <v>135183.03</v>
      </c>
      <c r="C60" s="60">
        <f t="shared" si="0"/>
        <v>10814.64</v>
      </c>
    </row>
    <row r="61" spans="1:3" x14ac:dyDescent="0.25">
      <c r="A61" s="40" t="s">
        <v>494</v>
      </c>
      <c r="B61" s="113">
        <v>107056.79</v>
      </c>
      <c r="C61" s="60">
        <f t="shared" si="0"/>
        <v>6691.05</v>
      </c>
    </row>
    <row r="62" spans="1:3" x14ac:dyDescent="0.25">
      <c r="A62" s="40" t="s">
        <v>495</v>
      </c>
      <c r="B62" s="113">
        <v>140899.06</v>
      </c>
      <c r="C62" s="60">
        <f t="shared" si="0"/>
        <v>11271.92</v>
      </c>
    </row>
    <row r="63" spans="1:3" x14ac:dyDescent="0.25">
      <c r="A63" s="40" t="s">
        <v>496</v>
      </c>
      <c r="B63" s="113">
        <v>130433.62</v>
      </c>
      <c r="C63" s="60">
        <f t="shared" si="0"/>
        <v>10434.69</v>
      </c>
    </row>
    <row r="65" spans="2:3" x14ac:dyDescent="0.25">
      <c r="B65" t="s">
        <v>108</v>
      </c>
      <c r="C65">
        <f>SUM(C14:C63)</f>
        <v>349300.04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2DF76-15C2-426C-8C64-D9D106F5948D}">
  <sheetPr>
    <tabColor rgb="FF0000FF"/>
  </sheetPr>
  <dimension ref="A1:E21"/>
  <sheetViews>
    <sheetView zoomScale="160" zoomScaleNormal="160" workbookViewId="0">
      <selection activeCell="C9" sqref="C9"/>
    </sheetView>
  </sheetViews>
  <sheetFormatPr defaultRowHeight="15" x14ac:dyDescent="0.25"/>
  <cols>
    <col min="1" max="1" width="4.85546875" customWidth="1"/>
    <col min="2" max="2" width="27.5703125" customWidth="1"/>
    <col min="3" max="3" width="10.140625" customWidth="1"/>
    <col min="4" max="4" width="7.7109375" customWidth="1"/>
    <col min="5" max="5" width="13.5703125" customWidth="1"/>
    <col min="6" max="7" width="17.28515625" customWidth="1"/>
    <col min="12" max="12" width="18.28515625" bestFit="1" customWidth="1"/>
  </cols>
  <sheetData>
    <row r="1" spans="1:5" x14ac:dyDescent="0.25">
      <c r="A1" s="41" t="s">
        <v>115</v>
      </c>
      <c r="B1" s="48" t="s">
        <v>145</v>
      </c>
      <c r="C1" s="42"/>
      <c r="D1" s="42"/>
      <c r="E1" s="43"/>
    </row>
    <row r="2" spans="1:5" x14ac:dyDescent="0.25">
      <c r="B2" s="62" t="s">
        <v>118</v>
      </c>
      <c r="C2" s="44"/>
      <c r="D2" s="44"/>
      <c r="E2" s="45"/>
    </row>
    <row r="3" spans="1:5" x14ac:dyDescent="0.25">
      <c r="B3" s="58" t="s">
        <v>127</v>
      </c>
      <c r="C3" s="44"/>
      <c r="D3" s="44"/>
      <c r="E3" s="45"/>
    </row>
    <row r="4" spans="1:5" x14ac:dyDescent="0.25">
      <c r="B4" s="61" t="s">
        <v>122</v>
      </c>
      <c r="C4" s="44"/>
      <c r="D4" s="44"/>
      <c r="E4" s="45"/>
    </row>
    <row r="5" spans="1:5" x14ac:dyDescent="0.25">
      <c r="B5" s="61" t="s">
        <v>123</v>
      </c>
      <c r="C5" s="44"/>
      <c r="D5" s="44"/>
      <c r="E5" s="45"/>
    </row>
    <row r="6" spans="1:5" x14ac:dyDescent="0.25">
      <c r="B6" s="63" t="s">
        <v>124</v>
      </c>
      <c r="C6" s="46"/>
      <c r="D6" s="46"/>
      <c r="E6" s="47"/>
    </row>
    <row r="8" spans="1:5" x14ac:dyDescent="0.25">
      <c r="B8" s="41" t="s">
        <v>131</v>
      </c>
    </row>
    <row r="9" spans="1:5" x14ac:dyDescent="0.25">
      <c r="B9" s="59" t="s">
        <v>116</v>
      </c>
      <c r="C9" s="40">
        <v>137</v>
      </c>
      <c r="E9" t="str">
        <f t="shared" ref="E9:E21" ca="1" si="0">IF(_xlfn.ISFORMULA(C9),_xlfn.FORMULATEXT(C9),"")</f>
        <v/>
      </c>
    </row>
    <row r="10" spans="1:5" x14ac:dyDescent="0.25">
      <c r="B10" s="59" t="s">
        <v>164</v>
      </c>
      <c r="C10" s="40">
        <v>75</v>
      </c>
      <c r="E10" t="str">
        <f t="shared" ca="1" si="0"/>
        <v/>
      </c>
    </row>
    <row r="11" spans="1:5" x14ac:dyDescent="0.25">
      <c r="B11" s="59" t="s">
        <v>165</v>
      </c>
      <c r="C11" s="40">
        <v>1.05</v>
      </c>
      <c r="E11" t="str">
        <f t="shared" ca="1" si="0"/>
        <v/>
      </c>
    </row>
    <row r="12" spans="1:5" x14ac:dyDescent="0.25">
      <c r="B12" s="59" t="s">
        <v>117</v>
      </c>
      <c r="C12" s="57"/>
      <c r="E12" t="str">
        <f t="shared" ca="1" si="0"/>
        <v/>
      </c>
    </row>
    <row r="13" spans="1:5" x14ac:dyDescent="0.25">
      <c r="B13" s="59" t="s">
        <v>166</v>
      </c>
      <c r="C13" s="60"/>
      <c r="E13" t="str">
        <f t="shared" ca="1" si="0"/>
        <v/>
      </c>
    </row>
    <row r="14" spans="1:5" x14ac:dyDescent="0.25">
      <c r="B14" s="59" t="s">
        <v>167</v>
      </c>
      <c r="C14" s="40">
        <v>120</v>
      </c>
      <c r="E14" t="str">
        <f t="shared" ca="1" si="0"/>
        <v/>
      </c>
    </row>
    <row r="15" spans="1:5" x14ac:dyDescent="0.25">
      <c r="B15" s="59" t="s">
        <v>168</v>
      </c>
      <c r="C15" s="60"/>
      <c r="E15" t="str">
        <f t="shared" ca="1" si="0"/>
        <v/>
      </c>
    </row>
    <row r="16" spans="1:5" x14ac:dyDescent="0.25">
      <c r="B16" s="59" t="s">
        <v>169</v>
      </c>
      <c r="C16" s="40">
        <v>1.35</v>
      </c>
      <c r="E16" t="str">
        <f t="shared" ca="1" si="0"/>
        <v/>
      </c>
    </row>
    <row r="17" spans="2:5" x14ac:dyDescent="0.25">
      <c r="B17" s="59" t="s">
        <v>132</v>
      </c>
      <c r="C17" s="57"/>
      <c r="E17" t="str">
        <f t="shared" ca="1" si="0"/>
        <v/>
      </c>
    </row>
    <row r="18" spans="2:5" x14ac:dyDescent="0.25">
      <c r="B18" s="59" t="s">
        <v>170</v>
      </c>
      <c r="C18" s="60"/>
      <c r="E18" t="str">
        <f t="shared" ca="1" si="0"/>
        <v/>
      </c>
    </row>
    <row r="19" spans="2:5" x14ac:dyDescent="0.25">
      <c r="B19" s="59" t="s">
        <v>171</v>
      </c>
      <c r="C19" s="40">
        <v>1.75</v>
      </c>
      <c r="E19" t="str">
        <f t="shared" ca="1" si="0"/>
        <v/>
      </c>
    </row>
    <row r="20" spans="2:5" x14ac:dyDescent="0.25">
      <c r="B20" s="59" t="s">
        <v>133</v>
      </c>
      <c r="C20" s="57"/>
      <c r="D20" t="s">
        <v>135</v>
      </c>
      <c r="E20" t="str">
        <f t="shared" ca="1" si="0"/>
        <v/>
      </c>
    </row>
    <row r="21" spans="2:5" x14ac:dyDescent="0.25">
      <c r="B21" s="59" t="s">
        <v>134</v>
      </c>
      <c r="C21" s="57"/>
      <c r="E21" t="str">
        <f t="shared" ca="1" si="0"/>
        <v/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16C4-E3D2-41CF-B503-C4BCD48DF7E8}">
  <sheetPr>
    <tabColor rgb="FFFF0000"/>
  </sheetPr>
  <dimension ref="A1:E21"/>
  <sheetViews>
    <sheetView zoomScale="160" zoomScaleNormal="160" workbookViewId="0">
      <selection activeCell="C22" sqref="C22"/>
    </sheetView>
  </sheetViews>
  <sheetFormatPr defaultRowHeight="15" x14ac:dyDescent="0.25"/>
  <cols>
    <col min="1" max="1" width="4.85546875" customWidth="1"/>
    <col min="2" max="2" width="27.5703125" customWidth="1"/>
    <col min="3" max="3" width="10.140625" customWidth="1"/>
    <col min="4" max="4" width="7.7109375" customWidth="1"/>
    <col min="5" max="5" width="13.5703125" customWidth="1"/>
    <col min="6" max="7" width="17.28515625" customWidth="1"/>
    <col min="12" max="12" width="18.28515625" bestFit="1" customWidth="1"/>
  </cols>
  <sheetData>
    <row r="1" spans="1:5" x14ac:dyDescent="0.25">
      <c r="A1" s="41" t="s">
        <v>115</v>
      </c>
      <c r="B1" s="48" t="s">
        <v>145</v>
      </c>
      <c r="C1" s="42"/>
      <c r="D1" s="42"/>
      <c r="E1" s="43"/>
    </row>
    <row r="2" spans="1:5" x14ac:dyDescent="0.25">
      <c r="B2" s="62" t="s">
        <v>118</v>
      </c>
      <c r="C2" s="44"/>
      <c r="D2" s="44"/>
      <c r="E2" s="45"/>
    </row>
    <row r="3" spans="1:5" x14ac:dyDescent="0.25">
      <c r="B3" s="58" t="s">
        <v>127</v>
      </c>
      <c r="C3" s="44"/>
      <c r="D3" s="44"/>
      <c r="E3" s="45"/>
    </row>
    <row r="4" spans="1:5" x14ac:dyDescent="0.25">
      <c r="B4" s="61" t="s">
        <v>122</v>
      </c>
      <c r="C4" s="44"/>
      <c r="D4" s="44"/>
      <c r="E4" s="45"/>
    </row>
    <row r="5" spans="1:5" x14ac:dyDescent="0.25">
      <c r="B5" s="61" t="s">
        <v>123</v>
      </c>
      <c r="C5" s="44"/>
      <c r="D5" s="44"/>
      <c r="E5" s="45"/>
    </row>
    <row r="6" spans="1:5" x14ac:dyDescent="0.25">
      <c r="B6" s="63" t="s">
        <v>124</v>
      </c>
      <c r="C6" s="46"/>
      <c r="D6" s="46"/>
      <c r="E6" s="47"/>
    </row>
    <row r="8" spans="1:5" x14ac:dyDescent="0.25">
      <c r="B8" s="41" t="s">
        <v>131</v>
      </c>
    </row>
    <row r="9" spans="1:5" x14ac:dyDescent="0.25">
      <c r="B9" s="59" t="s">
        <v>116</v>
      </c>
      <c r="C9" s="40">
        <v>137</v>
      </c>
      <c r="E9" t="str">
        <f t="shared" ref="E9:E21" ca="1" si="0">IF(_xlfn.ISFORMULA(C9),_xlfn.FORMULATEXT(C9),"")</f>
        <v/>
      </c>
    </row>
    <row r="10" spans="1:5" x14ac:dyDescent="0.25">
      <c r="B10" s="59" t="s">
        <v>164</v>
      </c>
      <c r="C10" s="40">
        <v>75</v>
      </c>
      <c r="E10" t="str">
        <f t="shared" ca="1" si="0"/>
        <v/>
      </c>
    </row>
    <row r="11" spans="1:5" x14ac:dyDescent="0.25">
      <c r="B11" s="59" t="s">
        <v>165</v>
      </c>
      <c r="C11" s="40">
        <v>1.05</v>
      </c>
      <c r="E11" t="str">
        <f t="shared" ca="1" si="0"/>
        <v/>
      </c>
    </row>
    <row r="12" spans="1:5" x14ac:dyDescent="0.25">
      <c r="B12" s="59" t="s">
        <v>117</v>
      </c>
      <c r="C12" s="57">
        <f>C11*C10</f>
        <v>78.75</v>
      </c>
      <c r="E12" t="str">
        <f t="shared" ca="1" si="0"/>
        <v>=C11*C10</v>
      </c>
    </row>
    <row r="13" spans="1:5" x14ac:dyDescent="0.25">
      <c r="B13" s="59" t="s">
        <v>166</v>
      </c>
      <c r="C13" s="60">
        <f>C9-C10</f>
        <v>62</v>
      </c>
      <c r="E13" t="str">
        <f t="shared" ca="1" si="0"/>
        <v>=C9-C10</v>
      </c>
    </row>
    <row r="14" spans="1:5" x14ac:dyDescent="0.25">
      <c r="B14" s="59" t="s">
        <v>167</v>
      </c>
      <c r="C14" s="40">
        <v>120</v>
      </c>
      <c r="E14" t="str">
        <f t="shared" ca="1" si="0"/>
        <v/>
      </c>
    </row>
    <row r="15" spans="1:5" x14ac:dyDescent="0.25">
      <c r="B15" s="59" t="s">
        <v>168</v>
      </c>
      <c r="C15" s="60">
        <f>C14-C10</f>
        <v>45</v>
      </c>
      <c r="E15" t="str">
        <f t="shared" ca="1" si="0"/>
        <v>=C14-C10</v>
      </c>
    </row>
    <row r="16" spans="1:5" x14ac:dyDescent="0.25">
      <c r="B16" s="59" t="s">
        <v>169</v>
      </c>
      <c r="C16" s="40">
        <v>1.35</v>
      </c>
      <c r="E16" t="str">
        <f t="shared" ca="1" si="0"/>
        <v/>
      </c>
    </row>
    <row r="17" spans="2:5" x14ac:dyDescent="0.25">
      <c r="B17" s="59" t="s">
        <v>132</v>
      </c>
      <c r="C17" s="57">
        <f>C16*C15</f>
        <v>60.750000000000007</v>
      </c>
      <c r="E17" t="str">
        <f t="shared" ca="1" si="0"/>
        <v>=C16*C15</v>
      </c>
    </row>
    <row r="18" spans="2:5" x14ac:dyDescent="0.25">
      <c r="B18" s="59" t="s">
        <v>170</v>
      </c>
      <c r="C18" s="60">
        <f>C13-C15</f>
        <v>17</v>
      </c>
      <c r="E18" t="str">
        <f t="shared" ca="1" si="0"/>
        <v>=C13-C15</v>
      </c>
    </row>
    <row r="19" spans="2:5" x14ac:dyDescent="0.25">
      <c r="B19" s="59" t="s">
        <v>171</v>
      </c>
      <c r="C19" s="40">
        <v>1.75</v>
      </c>
      <c r="E19" t="str">
        <f t="shared" ca="1" si="0"/>
        <v/>
      </c>
    </row>
    <row r="20" spans="2:5" x14ac:dyDescent="0.25">
      <c r="B20" s="59" t="s">
        <v>133</v>
      </c>
      <c r="C20" s="57">
        <f>C19*C18</f>
        <v>29.75</v>
      </c>
      <c r="D20" t="s">
        <v>135</v>
      </c>
      <c r="E20" t="str">
        <f t="shared" ca="1" si="0"/>
        <v>=C19*C18</v>
      </c>
    </row>
    <row r="21" spans="2:5" x14ac:dyDescent="0.25">
      <c r="B21" s="59" t="s">
        <v>134</v>
      </c>
      <c r="C21" s="57">
        <f>C20+C17+C12</f>
        <v>169.25</v>
      </c>
      <c r="E21" t="str">
        <f t="shared" ca="1" si="0"/>
        <v>=C20+C17+C12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EAE7F-300D-4581-ADD0-99952C513878}">
  <sheetPr>
    <tabColor rgb="FF0000FF"/>
  </sheetPr>
  <dimension ref="A1:O90"/>
  <sheetViews>
    <sheetView showGridLines="0" zoomScale="145" zoomScaleNormal="145" workbookViewId="0">
      <selection activeCell="C13" sqref="C13"/>
    </sheetView>
  </sheetViews>
  <sheetFormatPr defaultRowHeight="15" x14ac:dyDescent="0.25"/>
  <cols>
    <col min="1" max="1" width="22.5703125" customWidth="1"/>
    <col min="2" max="2" width="17.42578125" customWidth="1"/>
    <col min="3" max="5" width="9.28515625" customWidth="1"/>
    <col min="6" max="7" width="16.7109375" customWidth="1"/>
    <col min="17" max="17" width="18.28515625" bestFit="1" customWidth="1"/>
  </cols>
  <sheetData>
    <row r="1" spans="1:15" x14ac:dyDescent="0.25">
      <c r="A1" s="41" t="s">
        <v>150</v>
      </c>
      <c r="B1" s="48" t="s">
        <v>146</v>
      </c>
      <c r="C1" s="42"/>
      <c r="D1" s="42"/>
      <c r="E1" s="42"/>
      <c r="F1" s="42"/>
      <c r="G1" s="43"/>
    </row>
    <row r="2" spans="1:15" x14ac:dyDescent="0.25">
      <c r="B2" s="62" t="str">
        <f>"Employee made "&amp;C12&amp;" boomerangs."</f>
        <v>Employee made 137 boomerangs.</v>
      </c>
      <c r="C2" s="44"/>
      <c r="D2" s="44"/>
      <c r="E2" s="44"/>
      <c r="F2" s="44"/>
      <c r="G2" s="45"/>
    </row>
    <row r="3" spans="1:15" x14ac:dyDescent="0.25">
      <c r="B3" s="77" t="s">
        <v>148</v>
      </c>
      <c r="C3" s="46"/>
      <c r="D3" s="46"/>
      <c r="E3" s="46"/>
      <c r="F3" s="46"/>
      <c r="G3" s="47"/>
    </row>
    <row r="5" spans="1:15" x14ac:dyDescent="0.25">
      <c r="B5" s="83" t="s">
        <v>153</v>
      </c>
      <c r="C5" s="84"/>
      <c r="D5" s="84"/>
      <c r="E5" s="84"/>
      <c r="F5" s="84"/>
      <c r="G5" s="85"/>
    </row>
    <row r="6" spans="1:15" x14ac:dyDescent="0.25">
      <c r="B6" s="81" t="s">
        <v>149</v>
      </c>
      <c r="C6" s="79">
        <v>1</v>
      </c>
      <c r="D6" s="79">
        <v>2</v>
      </c>
      <c r="E6" s="79">
        <v>3</v>
      </c>
      <c r="F6" s="79">
        <v>4</v>
      </c>
      <c r="G6" s="79">
        <v>5</v>
      </c>
    </row>
    <row r="7" spans="1:15" ht="45" x14ac:dyDescent="0.25">
      <c r="B7" s="64" t="s">
        <v>102</v>
      </c>
      <c r="C7" s="64" t="s">
        <v>128</v>
      </c>
      <c r="D7" s="64" t="s">
        <v>129</v>
      </c>
      <c r="E7" s="64" t="s">
        <v>126</v>
      </c>
      <c r="F7" s="64" t="s">
        <v>130</v>
      </c>
      <c r="G7" s="64" t="s">
        <v>163</v>
      </c>
    </row>
    <row r="8" spans="1:15" x14ac:dyDescent="0.25">
      <c r="A8" t="str">
        <f>IF(VLOOKUP($C$12,$C$8:$C$10,1)=C8,"Using "&amp;$C$12&amp;" pick category "&amp;CHAR(26),"")</f>
        <v/>
      </c>
      <c r="B8" s="40" t="str">
        <f>C8&amp;"- "&amp;D8</f>
        <v>0- 75</v>
      </c>
      <c r="C8" s="76">
        <v>0</v>
      </c>
      <c r="D8" s="76">
        <v>75</v>
      </c>
      <c r="E8" s="76">
        <v>1.05</v>
      </c>
      <c r="F8" s="76">
        <v>0</v>
      </c>
      <c r="G8" s="76">
        <v>0</v>
      </c>
    </row>
    <row r="9" spans="1:15" x14ac:dyDescent="0.25">
      <c r="A9" t="str">
        <f t="shared" ref="A9:A10" si="0">IF(VLOOKUP($C$12,$C$8:$C$10,1)=C9,"Using "&amp;$C$12&amp;" pick category "&amp;CHAR(26),"")</f>
        <v/>
      </c>
      <c r="B9" s="40" t="str">
        <f>C9&amp;"- "&amp;D9</f>
        <v>76- 120</v>
      </c>
      <c r="C9" s="76">
        <f>D8+1</f>
        <v>76</v>
      </c>
      <c r="D9" s="76">
        <v>120</v>
      </c>
      <c r="E9" s="76">
        <v>1.35</v>
      </c>
      <c r="F9" s="76">
        <f>D8</f>
        <v>75</v>
      </c>
      <c r="G9" s="76">
        <f>(F9-F8)*E8+G8</f>
        <v>78.75</v>
      </c>
    </row>
    <row r="10" spans="1:15" x14ac:dyDescent="0.25">
      <c r="A10" t="str">
        <f t="shared" si="0"/>
        <v>Using 137 pick category _x001A_</v>
      </c>
      <c r="B10" s="76" t="str">
        <f>C10&amp;"- "&amp;D10</f>
        <v>121- more</v>
      </c>
      <c r="C10" s="76">
        <f>D9+1</f>
        <v>121</v>
      </c>
      <c r="D10" s="76" t="s">
        <v>125</v>
      </c>
      <c r="E10" s="76">
        <v>1.75</v>
      </c>
      <c r="F10" s="76">
        <f>D9</f>
        <v>120</v>
      </c>
      <c r="G10" s="76">
        <f>(F10-F9)*E9+G9</f>
        <v>139.5</v>
      </c>
    </row>
    <row r="12" spans="1:15" x14ac:dyDescent="0.25">
      <c r="B12" s="64" t="s">
        <v>116</v>
      </c>
      <c r="C12" s="40">
        <v>137</v>
      </c>
      <c r="O12" t="s">
        <v>137</v>
      </c>
    </row>
    <row r="13" spans="1:15" x14ac:dyDescent="0.25">
      <c r="B13" s="64" t="s">
        <v>110</v>
      </c>
      <c r="C13" s="60"/>
      <c r="E13" t="str">
        <f ca="1">IF(_xlfn.ISFORMULA(C13),_xlfn.FORMULATEXT(C13)&amp;" = "&amp;VLOOKUP(C12,C8:G10,5)&amp;" + ("&amp;C12&amp;" - "&amp;VLOOKUP(C12,C8:G10,4)&amp;") * "&amp;VLOOKUP(C12,C8:G10,3)&amp;" = "&amp;VLOOKUP(C12,C8:G10,5)+(C12-VLOOKUP(C12,C8:G10,4))*VLOOKUP(C12,C8:G10,3),"")</f>
        <v/>
      </c>
      <c r="O13" s="82">
        <f>VLOOKUP(C12,C8:G10,5)+(C12-VLOOKUP(C12,C8:G10,4))*VLOOKUP(C12,C8:G10,3)</f>
        <v>169.25</v>
      </c>
    </row>
    <row r="15" spans="1:15" x14ac:dyDescent="0.25">
      <c r="B15" s="78" t="s">
        <v>147</v>
      </c>
    </row>
    <row r="16" spans="1:15" x14ac:dyDescent="0.25">
      <c r="B16" t="str">
        <f>"1) Determine total number of items made:   "&amp;C12</f>
        <v>1) Determine total number of items made:   137</v>
      </c>
    </row>
    <row r="17" spans="1:7" x14ac:dyDescent="0.25">
      <c r="B17" t="str">
        <f>"2) Using the total number of items made, find correct category (row) in the Lookup Table:   "&amp;INDEX(B8:B10,MATCH(C12,C8:C10))</f>
        <v>2) Using the total number of items made, find correct category (row) in the Lookup Table:   121- more</v>
      </c>
    </row>
    <row r="18" spans="1:7" x14ac:dyDescent="0.25">
      <c r="B18" t="str">
        <f>"3) From Column 5, get the amount for "&amp;G7&amp;":   "&amp;VLOOKUP(C12,C8:G10,5)</f>
        <v>3) From Column 5, get the amount for Earnings Made Through Previous Category:   139.5</v>
      </c>
    </row>
    <row r="19" spans="1:7" x14ac:dyDescent="0.25">
      <c r="B19" t="str">
        <f>"4) From Column 4 get "&amp;F7&amp;":   "&amp;VLOOKUP(C12,C8:G10,4)</f>
        <v>4) From Column 4 get Number Made Through Previous Category:   120</v>
      </c>
    </row>
    <row r="20" spans="1:7" x14ac:dyDescent="0.25">
      <c r="B20" t="str">
        <f>"5) From Column 3 get "&amp;E7&amp;":   "&amp;VLOOKUP(C13,C8:G10,3)</f>
        <v>5) From Column 3 get Pay per Unit:   1.05</v>
      </c>
    </row>
    <row r="21" spans="1:7" x14ac:dyDescent="0.25">
      <c r="B21" t="str">
        <f>"6) Make the calculation:   "&amp;VLOOKUP(C12,C8:G10,5)&amp;" + ("&amp;C12&amp;" - "&amp;VLOOKUP(C12,C8:G10,4)&amp;") * "&amp;VLOOKUP(C12,C8:G10,3)&amp;" = "&amp;VLOOKUP(C12,C8:G10,5)+(C12-VLOOKUP(C12,C8:G10,4))*VLOOKUP(C12,C8:G10,3)</f>
        <v>6) Make the calculation:   139.5 + (137 - 120) * 1.75 = 169.25</v>
      </c>
    </row>
    <row r="23" spans="1:7" x14ac:dyDescent="0.25">
      <c r="A23" s="41" t="s">
        <v>151</v>
      </c>
      <c r="B23" s="48" t="s">
        <v>146</v>
      </c>
      <c r="C23" s="42"/>
      <c r="D23" s="42"/>
      <c r="E23" s="42"/>
      <c r="F23" s="42"/>
      <c r="G23" s="43"/>
    </row>
    <row r="24" spans="1:7" x14ac:dyDescent="0.25">
      <c r="B24" s="62" t="str">
        <f>"Employee made "&amp;C34&amp;" boomerangs."</f>
        <v>Employee made 119 boomerangs.</v>
      </c>
      <c r="C24" s="44"/>
      <c r="D24" s="44"/>
      <c r="E24" s="44"/>
      <c r="F24" s="44"/>
      <c r="G24" s="45"/>
    </row>
    <row r="25" spans="1:7" x14ac:dyDescent="0.25">
      <c r="B25" s="77" t="s">
        <v>148</v>
      </c>
      <c r="C25" s="46"/>
      <c r="D25" s="46"/>
      <c r="E25" s="46"/>
      <c r="F25" s="46"/>
      <c r="G25" s="47"/>
    </row>
    <row r="27" spans="1:7" x14ac:dyDescent="0.25">
      <c r="B27" s="83" t="s">
        <v>153</v>
      </c>
      <c r="C27" s="84"/>
      <c r="D27" s="84"/>
      <c r="E27" s="84"/>
      <c r="F27" s="84"/>
      <c r="G27" s="85"/>
    </row>
    <row r="28" spans="1:7" x14ac:dyDescent="0.25">
      <c r="B28" s="81" t="s">
        <v>149</v>
      </c>
      <c r="C28" s="79">
        <v>1</v>
      </c>
      <c r="D28" s="79">
        <v>2</v>
      </c>
      <c r="E28" s="79">
        <v>3</v>
      </c>
      <c r="F28" s="79">
        <v>4</v>
      </c>
      <c r="G28" s="79">
        <v>5</v>
      </c>
    </row>
    <row r="29" spans="1:7" ht="45" x14ac:dyDescent="0.25">
      <c r="B29" s="64" t="s">
        <v>102</v>
      </c>
      <c r="C29" s="64" t="s">
        <v>128</v>
      </c>
      <c r="D29" s="64" t="s">
        <v>129</v>
      </c>
      <c r="E29" s="64" t="s">
        <v>126</v>
      </c>
      <c r="F29" s="64" t="s">
        <v>130</v>
      </c>
      <c r="G29" s="64" t="s">
        <v>163</v>
      </c>
    </row>
    <row r="30" spans="1:7" x14ac:dyDescent="0.25">
      <c r="A30" t="str">
        <f>IF(VLOOKUP($C$34,$C$30:$C$32,1)=C30,"Using "&amp;$C$34&amp;" pick category "&amp;CHAR(26),"")</f>
        <v/>
      </c>
      <c r="B30" s="40" t="str">
        <f>C30&amp;"- "&amp;D30</f>
        <v>0- 75</v>
      </c>
      <c r="C30" s="76">
        <v>0</v>
      </c>
      <c r="D30" s="76">
        <v>75</v>
      </c>
      <c r="E30" s="76">
        <v>1.05</v>
      </c>
      <c r="F30" s="76">
        <v>0</v>
      </c>
      <c r="G30" s="76">
        <v>0</v>
      </c>
    </row>
    <row r="31" spans="1:7" x14ac:dyDescent="0.25">
      <c r="A31" t="str">
        <f t="shared" ref="A31:A32" si="1">IF(VLOOKUP($C$34,$C$30:$C$32,1)=C31,"Using "&amp;$C$34&amp;" pick category "&amp;CHAR(26),"")</f>
        <v>Using 119 pick category _x001A_</v>
      </c>
      <c r="B31" s="40" t="str">
        <f>C31&amp;"- "&amp;D31</f>
        <v>76- 120</v>
      </c>
      <c r="C31" s="76">
        <f>D30+1</f>
        <v>76</v>
      </c>
      <c r="D31" s="76">
        <v>120</v>
      </c>
      <c r="E31" s="76">
        <v>1.35</v>
      </c>
      <c r="F31" s="76">
        <f>D30</f>
        <v>75</v>
      </c>
      <c r="G31" s="76">
        <f>(F31-F30)*E30+G30</f>
        <v>78.75</v>
      </c>
    </row>
    <row r="32" spans="1:7" x14ac:dyDescent="0.25">
      <c r="A32" t="str">
        <f t="shared" si="1"/>
        <v/>
      </c>
      <c r="B32" s="76" t="str">
        <f>C32&amp;"- "&amp;D32</f>
        <v>121- more</v>
      </c>
      <c r="C32" s="76">
        <f>D31+1</f>
        <v>121</v>
      </c>
      <c r="D32" s="76" t="s">
        <v>125</v>
      </c>
      <c r="E32" s="76">
        <v>1.75</v>
      </c>
      <c r="F32" s="76">
        <f>D31</f>
        <v>120</v>
      </c>
      <c r="G32" s="76">
        <f>(F32-F31)*E31+G31</f>
        <v>139.5</v>
      </c>
    </row>
    <row r="34" spans="1:15" x14ac:dyDescent="0.25">
      <c r="B34" s="64" t="s">
        <v>116</v>
      </c>
      <c r="C34" s="40">
        <v>119</v>
      </c>
      <c r="O34" t="s">
        <v>137</v>
      </c>
    </row>
    <row r="35" spans="1:15" x14ac:dyDescent="0.25">
      <c r="B35" s="64" t="s">
        <v>110</v>
      </c>
      <c r="C35" s="60"/>
      <c r="E35" t="str">
        <f ca="1">IF(_xlfn.ISFORMULA(C35),_xlfn.FORMULATEXT(C35)&amp;" = "&amp;VLOOKUP(C34,C30:G32,5)&amp;" + ("&amp;C34&amp;" - "&amp;VLOOKUP(C34,C30:G32,4)&amp;") * "&amp;VLOOKUP(C34,C30:G32,3)&amp;" = "&amp;VLOOKUP(C34,C30:G32,5)+(C34-VLOOKUP(C34,C30:G32,4))*VLOOKUP(C34,C30:G32,3),"")</f>
        <v/>
      </c>
      <c r="O35" s="82">
        <f>VLOOKUP(C34,C30:G32,5)+(C34-VLOOKUP(C34,C30:G32,4))*VLOOKUP(C34,C30:G32,3)</f>
        <v>138.15</v>
      </c>
    </row>
    <row r="37" spans="1:15" x14ac:dyDescent="0.25">
      <c r="B37" s="78" t="s">
        <v>147</v>
      </c>
    </row>
    <row r="38" spans="1:15" x14ac:dyDescent="0.25">
      <c r="B38" t="str">
        <f>"1) Determine total number of items made:   "&amp;C34</f>
        <v>1) Determine total number of items made:   119</v>
      </c>
    </row>
    <row r="39" spans="1:15" x14ac:dyDescent="0.25">
      <c r="B39" t="str">
        <f>"2) Using the total number of items made, find correct category (row) in the Lookup Table:   "&amp;INDEX(B30:B32,MATCH(C34,C30:C32))</f>
        <v>2) Using the total number of items made, find correct category (row) in the Lookup Table:   76- 120</v>
      </c>
    </row>
    <row r="40" spans="1:15" x14ac:dyDescent="0.25">
      <c r="B40" t="str">
        <f>"3) From Column 5, get the amount for "&amp;G29&amp;":   "&amp;VLOOKUP(C34,C30:G32,5)</f>
        <v>3) From Column 5, get the amount for Earnings Made Through Previous Category:   78.75</v>
      </c>
    </row>
    <row r="41" spans="1:15" x14ac:dyDescent="0.25">
      <c r="B41" t="str">
        <f>"4) From Column 4 get "&amp;F29&amp;":   "&amp;VLOOKUP(C34,C30:G32,4)</f>
        <v>4) From Column 4 get Number Made Through Previous Category:   75</v>
      </c>
    </row>
    <row r="42" spans="1:15" x14ac:dyDescent="0.25">
      <c r="B42" t="str">
        <f>"5) From Column 3 get "&amp;E29&amp;":   "&amp;VLOOKUP(C34,C30:G32,3)</f>
        <v>5) From Column 3 get Pay per Unit:   1.35</v>
      </c>
    </row>
    <row r="43" spans="1:15" x14ac:dyDescent="0.25">
      <c r="B43" t="str">
        <f>"6) Make the calculation:   "&amp;VLOOKUP(C34,C30:G32,5)&amp;" + ("&amp;C34&amp;" - "&amp;VLOOKUP(C34,C30:G32,4)&amp;") * "&amp;VLOOKUP(C34,C30:G32,3)&amp;" = "&amp;VLOOKUP(C34,C30:G32,5)+(C34-VLOOKUP(C34,C30:G32,4))*VLOOKUP(C34,C30:G32,3)</f>
        <v>6) Make the calculation:   78.75 + (119 - 75) * 1.35 = 138.15</v>
      </c>
    </row>
    <row r="45" spans="1:15" x14ac:dyDescent="0.25">
      <c r="A45" s="41" t="s">
        <v>152</v>
      </c>
      <c r="B45" s="48" t="s">
        <v>146</v>
      </c>
      <c r="C45" s="42"/>
      <c r="D45" s="42"/>
      <c r="E45" s="42"/>
      <c r="F45" s="42"/>
      <c r="G45" s="43"/>
    </row>
    <row r="46" spans="1:15" x14ac:dyDescent="0.25">
      <c r="B46" s="62" t="str">
        <f>"Employee made "&amp;C56&amp;" boomerangs."</f>
        <v>Employee made 74 boomerangs.</v>
      </c>
      <c r="C46" s="44"/>
      <c r="D46" s="44"/>
      <c r="E46" s="44"/>
      <c r="F46" s="44"/>
      <c r="G46" s="45"/>
    </row>
    <row r="47" spans="1:15" x14ac:dyDescent="0.25">
      <c r="B47" s="77" t="s">
        <v>148</v>
      </c>
      <c r="C47" s="46"/>
      <c r="D47" s="46"/>
      <c r="E47" s="46"/>
      <c r="F47" s="46"/>
      <c r="G47" s="47"/>
    </row>
    <row r="49" spans="1:15" x14ac:dyDescent="0.25">
      <c r="B49" s="83" t="s">
        <v>153</v>
      </c>
      <c r="C49" s="84"/>
      <c r="D49" s="84"/>
      <c r="E49" s="84"/>
      <c r="F49" s="84"/>
      <c r="G49" s="85"/>
    </row>
    <row r="50" spans="1:15" x14ac:dyDescent="0.25">
      <c r="B50" s="81" t="s">
        <v>149</v>
      </c>
      <c r="C50" s="79">
        <v>1</v>
      </c>
      <c r="D50" s="79">
        <v>2</v>
      </c>
      <c r="E50" s="79">
        <v>3</v>
      </c>
      <c r="F50" s="79">
        <v>4</v>
      </c>
      <c r="G50" s="79">
        <v>5</v>
      </c>
    </row>
    <row r="51" spans="1:15" ht="45" x14ac:dyDescent="0.25">
      <c r="B51" s="64" t="s">
        <v>102</v>
      </c>
      <c r="C51" s="64" t="s">
        <v>128</v>
      </c>
      <c r="D51" s="64" t="s">
        <v>129</v>
      </c>
      <c r="E51" s="64" t="s">
        <v>126</v>
      </c>
      <c r="F51" s="64" t="s">
        <v>130</v>
      </c>
      <c r="G51" s="64" t="s">
        <v>163</v>
      </c>
    </row>
    <row r="52" spans="1:15" x14ac:dyDescent="0.25">
      <c r="A52" t="str">
        <f>IF(VLOOKUP($C$56,$C$52:$C$54,1)=C52,"Using "&amp;$C$56&amp;" pick category "&amp;CHAR(26),"")</f>
        <v>Using 74 pick category _x001A_</v>
      </c>
      <c r="B52" s="40" t="str">
        <f>C52&amp;"- "&amp;D52</f>
        <v>0- 75</v>
      </c>
      <c r="C52" s="76">
        <v>0</v>
      </c>
      <c r="D52" s="76">
        <v>75</v>
      </c>
      <c r="E52" s="76">
        <v>1.05</v>
      </c>
      <c r="F52" s="76">
        <v>0</v>
      </c>
      <c r="G52" s="76">
        <v>0</v>
      </c>
    </row>
    <row r="53" spans="1:15" x14ac:dyDescent="0.25">
      <c r="A53" t="str">
        <f t="shared" ref="A53:A54" si="2">IF(VLOOKUP($C$56,$C$52:$C$54,1)=C53,"Using "&amp;$C$56&amp;" pick category "&amp;CHAR(26),"")</f>
        <v/>
      </c>
      <c r="B53" s="40" t="str">
        <f>C53&amp;"- "&amp;D53</f>
        <v>76- 120</v>
      </c>
      <c r="C53" s="76">
        <f>D52+1</f>
        <v>76</v>
      </c>
      <c r="D53" s="76">
        <v>120</v>
      </c>
      <c r="E53" s="76">
        <v>1.35</v>
      </c>
      <c r="F53" s="76">
        <f>D52</f>
        <v>75</v>
      </c>
      <c r="G53" s="76">
        <f>(F53-F52)*E52+G52</f>
        <v>78.75</v>
      </c>
    </row>
    <row r="54" spans="1:15" x14ac:dyDescent="0.25">
      <c r="A54" t="str">
        <f t="shared" si="2"/>
        <v/>
      </c>
      <c r="B54" s="76" t="str">
        <f>C54&amp;"- "&amp;D54</f>
        <v>121- more</v>
      </c>
      <c r="C54" s="76">
        <f>D53+1</f>
        <v>121</v>
      </c>
      <c r="D54" s="76" t="s">
        <v>125</v>
      </c>
      <c r="E54" s="76">
        <v>1.75</v>
      </c>
      <c r="F54" s="76">
        <f>D53</f>
        <v>120</v>
      </c>
      <c r="G54" s="76">
        <f>(F54-F53)*E53+G53</f>
        <v>139.5</v>
      </c>
    </row>
    <row r="56" spans="1:15" x14ac:dyDescent="0.25">
      <c r="B56" s="64" t="s">
        <v>116</v>
      </c>
      <c r="C56" s="40">
        <v>74</v>
      </c>
      <c r="O56" t="s">
        <v>137</v>
      </c>
    </row>
    <row r="57" spans="1:15" x14ac:dyDescent="0.25">
      <c r="B57" s="64" t="s">
        <v>110</v>
      </c>
      <c r="C57" s="60"/>
      <c r="E57" t="str">
        <f ca="1">IF(_xlfn.ISFORMULA(C57),_xlfn.FORMULATEXT(C57)&amp;" = "&amp;VLOOKUP(C56,C52:G54,5)&amp;" + ("&amp;C56&amp;" - "&amp;VLOOKUP(C56,C52:G54,4)&amp;") * "&amp;VLOOKUP(C56,C52:G54,3)&amp;" = "&amp;VLOOKUP(C56,C52:G54,5)+(C56-VLOOKUP(C56,C52:G54,4))*VLOOKUP(C56,C52:G54,3),"")</f>
        <v/>
      </c>
      <c r="O57" s="82">
        <f>VLOOKUP(C56,C52:G54,5)+(C56-VLOOKUP(C56,C52:G54,4))*VLOOKUP(C56,C52:G54,3)</f>
        <v>77.7</v>
      </c>
    </row>
    <row r="59" spans="1:15" x14ac:dyDescent="0.25">
      <c r="B59" s="78" t="s">
        <v>147</v>
      </c>
    </row>
    <row r="60" spans="1:15" x14ac:dyDescent="0.25">
      <c r="B60" t="str">
        <f>"1) Determine total number of items made:   "&amp;C56</f>
        <v>1) Determine total number of items made:   74</v>
      </c>
    </row>
    <row r="61" spans="1:15" x14ac:dyDescent="0.25">
      <c r="B61" t="str">
        <f>"2) Using the total number of items made, find correct category (row) in the Lookup Table:   "&amp;INDEX(B52:B54,MATCH(C56,C52:C54))</f>
        <v>2) Using the total number of items made, find correct category (row) in the Lookup Table:   0- 75</v>
      </c>
    </row>
    <row r="62" spans="1:15" x14ac:dyDescent="0.25">
      <c r="B62" t="str">
        <f>"3) From Column 5, get the amount for "&amp;G51&amp;":   "&amp;VLOOKUP(C56,C52:G54,5)</f>
        <v>3) From Column 5, get the amount for Earnings Made Through Previous Category:   0</v>
      </c>
    </row>
    <row r="63" spans="1:15" x14ac:dyDescent="0.25">
      <c r="B63" t="str">
        <f>"4) From Column 4 get "&amp;F51&amp;":   "&amp;VLOOKUP(C56,C52:G54,4)</f>
        <v>4) From Column 4 get Number Made Through Previous Category:   0</v>
      </c>
    </row>
    <row r="64" spans="1:15" x14ac:dyDescent="0.25">
      <c r="B64" t="str">
        <f>"5) From Column 3 get "&amp;E51&amp;":   "&amp;VLOOKUP(C56,C52:G54,3)</f>
        <v>5) From Column 3 get Pay per Unit:   1.05</v>
      </c>
    </row>
    <row r="65" spans="1:7" x14ac:dyDescent="0.25">
      <c r="B65" t="str">
        <f>"6) Make the calculation:   "&amp;VLOOKUP(C56,C52:G54,5)&amp;" + ("&amp;C56&amp;" - "&amp;VLOOKUP(C56,C52:G54,4)&amp;") * "&amp;VLOOKUP(C56,C52:G54,3)&amp;" = "&amp;VLOOKUP(C56,C52:G54,5)+(C56-VLOOKUP(C56,C52:G54,4))*VLOOKUP(C56,C52:G54,3)</f>
        <v>6) Make the calculation:   0 + (74 - 0) * 1.05 = 77.7</v>
      </c>
    </row>
    <row r="67" spans="1:7" x14ac:dyDescent="0.25">
      <c r="A67" s="41" t="s">
        <v>172</v>
      </c>
      <c r="B67" s="48" t="s">
        <v>146</v>
      </c>
      <c r="C67" s="42"/>
      <c r="D67" s="42"/>
      <c r="E67" s="42"/>
      <c r="F67" s="42"/>
      <c r="G67" s="43"/>
    </row>
    <row r="68" spans="1:7" x14ac:dyDescent="0.25">
      <c r="B68" s="62" t="str">
        <f>"Employee made "&amp;C81&amp;" boomerangs."</f>
        <v>Employee made 137 boomerangs.</v>
      </c>
      <c r="C68" s="44"/>
      <c r="D68" s="44"/>
      <c r="E68" s="44"/>
      <c r="F68" s="44"/>
      <c r="G68" s="45"/>
    </row>
    <row r="69" spans="1:7" x14ac:dyDescent="0.25">
      <c r="B69" s="77" t="s">
        <v>148</v>
      </c>
      <c r="C69" s="46"/>
      <c r="D69" s="46"/>
      <c r="E69" s="46"/>
      <c r="F69" s="46"/>
      <c r="G69" s="47"/>
    </row>
    <row r="71" spans="1:7" x14ac:dyDescent="0.25">
      <c r="B71" s="83" t="s">
        <v>153</v>
      </c>
      <c r="C71" s="84"/>
      <c r="D71" s="84"/>
      <c r="E71" s="84"/>
      <c r="F71" s="84"/>
      <c r="G71" s="85"/>
    </row>
    <row r="72" spans="1:7" x14ac:dyDescent="0.25">
      <c r="B72" s="81" t="s">
        <v>149</v>
      </c>
      <c r="C72" s="79">
        <v>1</v>
      </c>
      <c r="D72" s="79">
        <v>2</v>
      </c>
      <c r="E72" s="79">
        <v>3</v>
      </c>
      <c r="F72" s="79">
        <v>4</v>
      </c>
      <c r="G72" s="79">
        <v>5</v>
      </c>
    </row>
    <row r="73" spans="1:7" ht="45" x14ac:dyDescent="0.25">
      <c r="B73" s="64" t="s">
        <v>102</v>
      </c>
      <c r="C73" s="64" t="s">
        <v>128</v>
      </c>
      <c r="D73" s="64" t="s">
        <v>129</v>
      </c>
      <c r="E73" s="64" t="s">
        <v>126</v>
      </c>
      <c r="F73" s="64" t="s">
        <v>130</v>
      </c>
      <c r="G73" s="64" t="s">
        <v>163</v>
      </c>
    </row>
    <row r="74" spans="1:7" x14ac:dyDescent="0.25">
      <c r="A74" t="str">
        <f>IF(VLOOKUP($C$81,$C$74:$C$79,1)=C74,"Using "&amp;$C$81&amp;" pick category "&amp;CHAR(26),"")</f>
        <v/>
      </c>
      <c r="B74" s="40" t="str">
        <f>C74&amp;"- "&amp;D74</f>
        <v>0- 50</v>
      </c>
      <c r="C74" s="76">
        <v>0</v>
      </c>
      <c r="D74" s="76">
        <v>50</v>
      </c>
      <c r="E74" s="87">
        <v>1</v>
      </c>
      <c r="F74" s="76">
        <v>0</v>
      </c>
      <c r="G74" s="76">
        <v>0</v>
      </c>
    </row>
    <row r="75" spans="1:7" x14ac:dyDescent="0.25">
      <c r="A75" t="str">
        <f t="shared" ref="A75:A79" si="3">IF(VLOOKUP($C$81,$C$74:$C$79,1)=C75,"Using "&amp;$C$81&amp;" pick category "&amp;CHAR(26),"")</f>
        <v/>
      </c>
      <c r="B75" s="40" t="str">
        <f t="shared" ref="B75:B79" si="4">C75&amp;"- "&amp;D75</f>
        <v>51- 75</v>
      </c>
      <c r="C75" s="76">
        <f t="shared" ref="C75:C79" si="5">D74+1</f>
        <v>51</v>
      </c>
      <c r="D75" s="76">
        <v>75</v>
      </c>
      <c r="E75" s="87">
        <v>1.1000000000000001</v>
      </c>
      <c r="F75" s="76">
        <f>D74</f>
        <v>50</v>
      </c>
      <c r="G75" s="87">
        <f>(F75-F74)*E74+G74</f>
        <v>50</v>
      </c>
    </row>
    <row r="76" spans="1:7" x14ac:dyDescent="0.25">
      <c r="A76" t="str">
        <f t="shared" si="3"/>
        <v/>
      </c>
      <c r="B76" s="40" t="str">
        <f t="shared" si="4"/>
        <v>76- 110</v>
      </c>
      <c r="C76" s="76">
        <f t="shared" si="5"/>
        <v>76</v>
      </c>
      <c r="D76" s="76">
        <v>110</v>
      </c>
      <c r="E76" s="87">
        <v>1.25</v>
      </c>
      <c r="F76" s="76">
        <f t="shared" ref="F76:F79" si="6">D75</f>
        <v>75</v>
      </c>
      <c r="G76" s="87">
        <f t="shared" ref="G76:G79" si="7">(F76-F75)*E75+G75</f>
        <v>77.5</v>
      </c>
    </row>
    <row r="77" spans="1:7" x14ac:dyDescent="0.25">
      <c r="A77" t="str">
        <f t="shared" si="3"/>
        <v/>
      </c>
      <c r="B77" s="40" t="str">
        <f t="shared" si="4"/>
        <v>111- 130</v>
      </c>
      <c r="C77" s="76">
        <f t="shared" si="5"/>
        <v>111</v>
      </c>
      <c r="D77" s="76">
        <v>130</v>
      </c>
      <c r="E77" s="87">
        <v>1.5</v>
      </c>
      <c r="F77" s="76">
        <f t="shared" si="6"/>
        <v>110</v>
      </c>
      <c r="G77" s="87">
        <f t="shared" si="7"/>
        <v>121.25</v>
      </c>
    </row>
    <row r="78" spans="1:7" x14ac:dyDescent="0.25">
      <c r="A78" t="str">
        <f t="shared" si="3"/>
        <v>Using 137 pick category _x001A_</v>
      </c>
      <c r="B78" s="40" t="str">
        <f t="shared" si="4"/>
        <v>131- 150</v>
      </c>
      <c r="C78" s="76">
        <f t="shared" si="5"/>
        <v>131</v>
      </c>
      <c r="D78" s="76">
        <v>150</v>
      </c>
      <c r="E78" s="87">
        <v>1.75</v>
      </c>
      <c r="F78" s="76">
        <f t="shared" si="6"/>
        <v>130</v>
      </c>
      <c r="G78" s="87">
        <f t="shared" si="7"/>
        <v>151.25</v>
      </c>
    </row>
    <row r="79" spans="1:7" x14ac:dyDescent="0.25">
      <c r="A79" t="str">
        <f t="shared" si="3"/>
        <v/>
      </c>
      <c r="B79" s="40" t="str">
        <f t="shared" si="4"/>
        <v>151- more</v>
      </c>
      <c r="C79" s="76">
        <f t="shared" si="5"/>
        <v>151</v>
      </c>
      <c r="D79" s="76" t="s">
        <v>125</v>
      </c>
      <c r="E79" s="87">
        <v>2</v>
      </c>
      <c r="F79" s="76">
        <f t="shared" si="6"/>
        <v>150</v>
      </c>
      <c r="G79" s="87">
        <f t="shared" si="7"/>
        <v>186.25</v>
      </c>
    </row>
    <row r="81" spans="2:15" x14ac:dyDescent="0.25">
      <c r="B81" s="64" t="s">
        <v>116</v>
      </c>
      <c r="C81" s="40">
        <v>137</v>
      </c>
      <c r="O81" t="s">
        <v>137</v>
      </c>
    </row>
    <row r="82" spans="2:15" x14ac:dyDescent="0.25">
      <c r="B82" s="64" t="s">
        <v>110</v>
      </c>
      <c r="C82" s="57"/>
      <c r="E82" t="str">
        <f ca="1">IF(_xlfn.ISFORMULA(C82),_xlfn.FORMULATEXT(C82)&amp;" = "&amp;VLOOKUP(C81,C74:G79,5)&amp;" + ("&amp;C81&amp;" - "&amp;VLOOKUP(C81,C74:G79,4)&amp;") * "&amp;VLOOKUP(C81,C74:G79,3)&amp;" = "&amp;VLOOKUP(C81,C74:G79,5)+(C81-VLOOKUP(C81,C74:G79,4))*VLOOKUP(C81,C74:G79,3),"")</f>
        <v/>
      </c>
      <c r="O82" s="82">
        <f>VLOOKUP(C81,C74:G79,5)+(C81-VLOOKUP(C81,C74:G79,4))*VLOOKUP(C81,C74:G79,3)</f>
        <v>163.5</v>
      </c>
    </row>
    <row r="83" spans="2:15" x14ac:dyDescent="0.25">
      <c r="C83" s="158"/>
      <c r="E83" t="str">
        <f ca="1">IF(_xlfn.ISFORMULA(C83),_xlfn.FORMULATEXT(C83),"")</f>
        <v/>
      </c>
    </row>
    <row r="84" spans="2:15" x14ac:dyDescent="0.25">
      <c r="B84" s="78" t="s">
        <v>147</v>
      </c>
    </row>
    <row r="85" spans="2:15" x14ac:dyDescent="0.25">
      <c r="B85" t="str">
        <f>"1) Determine total number of items made:   "&amp;C81</f>
        <v>1) Determine total number of items made:   137</v>
      </c>
    </row>
    <row r="86" spans="2:15" x14ac:dyDescent="0.25">
      <c r="B86" t="str">
        <f>"2) Using the total number of items made, find correct category (row) in the Lookup Table:   "&amp;INDEX(B74:B79,MATCH(C81,C74:C79))</f>
        <v>2) Using the total number of items made, find correct category (row) in the Lookup Table:   131- 150</v>
      </c>
    </row>
    <row r="87" spans="2:15" x14ac:dyDescent="0.25">
      <c r="B87" t="str">
        <f>"3) From Column 5, get the amount for "&amp;G73&amp;":   "&amp;VLOOKUP(C81,C74:G79,5)</f>
        <v>3) From Column 5, get the amount for Earnings Made Through Previous Category:   151.25</v>
      </c>
    </row>
    <row r="88" spans="2:15" x14ac:dyDescent="0.25">
      <c r="B88" t="str">
        <f>"4) From Column 4 get "&amp;F73&amp;":   "&amp;VLOOKUP(C81,C74:G79,4)</f>
        <v>4) From Column 4 get Number Made Through Previous Category:   130</v>
      </c>
    </row>
    <row r="89" spans="2:15" x14ac:dyDescent="0.25">
      <c r="B89" t="str">
        <f>"5) From Column 3 get "&amp;E73&amp;":   "&amp;VLOOKUP(C81,C74:G79,3)</f>
        <v>5) From Column 3 get Pay per Unit:   1.75</v>
      </c>
    </row>
    <row r="90" spans="2:15" x14ac:dyDescent="0.25">
      <c r="B90" t="str">
        <f>"6) Make the calculation:   "&amp;VLOOKUP(C81,C74:G79,5)&amp;" + ("&amp;C81&amp;" - "&amp;VLOOKUP(C81,C74:G79,4)&amp;") * "&amp;VLOOKUP(C81,C74:G79,3)&amp;" = "&amp;VLOOKUP(C81,C74:G79,5)+(C81-VLOOKUP(C81,C74:G79,4))*VLOOKUP(C81,C74:G79,3)</f>
        <v>6) Make the calculation:   151.25 + (137 - 130) * 1.75 = 163.5</v>
      </c>
    </row>
  </sheetData>
  <conditionalFormatting sqref="A8:G10">
    <cfRule type="expression" dxfId="11" priority="7">
      <formula>VLOOKUP($C$12,$C$8:$C$10,1)=$C8</formula>
    </cfRule>
  </conditionalFormatting>
  <conditionalFormatting sqref="A30:G32">
    <cfRule type="expression" dxfId="10" priority="3">
      <formula>VLOOKUP($C$34,$C$30:$C$32,1)=$C30</formula>
    </cfRule>
  </conditionalFormatting>
  <conditionalFormatting sqref="A52:G54">
    <cfRule type="expression" dxfId="9" priority="2">
      <formula>VLOOKUP($C$56,$C$52:$C$54,1)=$C52</formula>
    </cfRule>
  </conditionalFormatting>
  <conditionalFormatting sqref="A74:G79">
    <cfRule type="expression" dxfId="8" priority="1">
      <formula>VLOOKUP($C$81,$C$74:$C$79,1)=$C74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7EBB5-5C59-4305-B569-953B8B7D49BB}">
  <sheetPr>
    <tabColor rgb="FFFF0000"/>
  </sheetPr>
  <dimension ref="A1:O90"/>
  <sheetViews>
    <sheetView showGridLines="0" zoomScale="145" zoomScaleNormal="145" workbookViewId="0">
      <selection activeCell="C13" sqref="C13"/>
    </sheetView>
  </sheetViews>
  <sheetFormatPr defaultRowHeight="15" x14ac:dyDescent="0.25"/>
  <cols>
    <col min="1" max="1" width="22.5703125" customWidth="1"/>
    <col min="2" max="2" width="17.42578125" customWidth="1"/>
    <col min="3" max="5" width="9.28515625" customWidth="1"/>
    <col min="6" max="7" width="16.7109375" customWidth="1"/>
    <col min="17" max="17" width="18.28515625" bestFit="1" customWidth="1"/>
  </cols>
  <sheetData>
    <row r="1" spans="1:15" x14ac:dyDescent="0.25">
      <c r="A1" s="41" t="s">
        <v>150</v>
      </c>
      <c r="B1" s="48" t="s">
        <v>146</v>
      </c>
      <c r="C1" s="42"/>
      <c r="D1" s="42"/>
      <c r="E1" s="42"/>
      <c r="F1" s="42"/>
      <c r="G1" s="43"/>
    </row>
    <row r="2" spans="1:15" x14ac:dyDescent="0.25">
      <c r="B2" s="62" t="str">
        <f>"Employee made "&amp;C12&amp;" boomerangs."</f>
        <v>Employee made 137 boomerangs.</v>
      </c>
      <c r="C2" s="44"/>
      <c r="D2" s="44"/>
      <c r="E2" s="44"/>
      <c r="F2" s="44"/>
      <c r="G2" s="45"/>
    </row>
    <row r="3" spans="1:15" x14ac:dyDescent="0.25">
      <c r="B3" s="77" t="s">
        <v>148</v>
      </c>
      <c r="C3" s="46"/>
      <c r="D3" s="46"/>
      <c r="E3" s="46"/>
      <c r="F3" s="46"/>
      <c r="G3" s="47"/>
    </row>
    <row r="5" spans="1:15" x14ac:dyDescent="0.25">
      <c r="B5" s="83" t="s">
        <v>153</v>
      </c>
      <c r="C5" s="84"/>
      <c r="D5" s="84"/>
      <c r="E5" s="84"/>
      <c r="F5" s="84"/>
      <c r="G5" s="85"/>
    </row>
    <row r="6" spans="1:15" x14ac:dyDescent="0.25">
      <c r="B6" s="81" t="s">
        <v>149</v>
      </c>
      <c r="C6" s="79">
        <v>1</v>
      </c>
      <c r="D6" s="79">
        <v>2</v>
      </c>
      <c r="E6" s="79">
        <v>3</v>
      </c>
      <c r="F6" s="79">
        <v>4</v>
      </c>
      <c r="G6" s="79">
        <v>5</v>
      </c>
    </row>
    <row r="7" spans="1:15" ht="45" x14ac:dyDescent="0.25">
      <c r="B7" s="64" t="s">
        <v>102</v>
      </c>
      <c r="C7" s="64" t="s">
        <v>128</v>
      </c>
      <c r="D7" s="64" t="s">
        <v>129</v>
      </c>
      <c r="E7" s="64" t="s">
        <v>126</v>
      </c>
      <c r="F7" s="64" t="s">
        <v>130</v>
      </c>
      <c r="G7" s="64" t="s">
        <v>163</v>
      </c>
    </row>
    <row r="8" spans="1:15" x14ac:dyDescent="0.25">
      <c r="A8" t="str">
        <f>IF(VLOOKUP($C$12,$C$8:$C$10,1)=C8,"Using "&amp;$C$12&amp;" pick category "&amp;CHAR(26),"")</f>
        <v/>
      </c>
      <c r="B8" s="40" t="str">
        <f>C8&amp;"- "&amp;D8</f>
        <v>0- 75</v>
      </c>
      <c r="C8" s="76">
        <v>0</v>
      </c>
      <c r="D8" s="76">
        <v>75</v>
      </c>
      <c r="E8" s="76">
        <v>1.05</v>
      </c>
      <c r="F8" s="76">
        <v>0</v>
      </c>
      <c r="G8" s="76">
        <v>0</v>
      </c>
    </row>
    <row r="9" spans="1:15" x14ac:dyDescent="0.25">
      <c r="A9" t="str">
        <f t="shared" ref="A9:A10" si="0">IF(VLOOKUP($C$12,$C$8:$C$10,1)=C9,"Using "&amp;$C$12&amp;" pick category "&amp;CHAR(26),"")</f>
        <v/>
      </c>
      <c r="B9" s="40" t="str">
        <f>C9&amp;"- "&amp;D9</f>
        <v>76- 120</v>
      </c>
      <c r="C9" s="76">
        <f>D8+1</f>
        <v>76</v>
      </c>
      <c r="D9" s="76">
        <v>120</v>
      </c>
      <c r="E9" s="76">
        <v>1.35</v>
      </c>
      <c r="F9" s="76">
        <f>D8</f>
        <v>75</v>
      </c>
      <c r="G9" s="76">
        <f>(F9-F8)*E8+G8</f>
        <v>78.75</v>
      </c>
    </row>
    <row r="10" spans="1:15" x14ac:dyDescent="0.25">
      <c r="A10" t="str">
        <f t="shared" si="0"/>
        <v>Using 137 pick category _x001A_</v>
      </c>
      <c r="B10" s="76" t="str">
        <f>C10&amp;"- "&amp;D10</f>
        <v>121- more</v>
      </c>
      <c r="C10" s="76">
        <f>D9+1</f>
        <v>121</v>
      </c>
      <c r="D10" s="76" t="s">
        <v>125</v>
      </c>
      <c r="E10" s="76">
        <v>1.75</v>
      </c>
      <c r="F10" s="76">
        <f>D9</f>
        <v>120</v>
      </c>
      <c r="G10" s="76">
        <f>(F10-F9)*E9+G9</f>
        <v>139.5</v>
      </c>
    </row>
    <row r="12" spans="1:15" x14ac:dyDescent="0.25">
      <c r="B12" s="64" t="s">
        <v>116</v>
      </c>
      <c r="C12" s="40">
        <v>137</v>
      </c>
      <c r="O12" t="s">
        <v>137</v>
      </c>
    </row>
    <row r="13" spans="1:15" x14ac:dyDescent="0.25">
      <c r="B13" s="64" t="s">
        <v>110</v>
      </c>
      <c r="C13" s="60">
        <f>G10+(C12-F10)*E10</f>
        <v>169.25</v>
      </c>
      <c r="E13" t="str">
        <f ca="1">IF(_xlfn.ISFORMULA(C13),_xlfn.FORMULATEXT(C13)&amp;" = "&amp;VLOOKUP(C12,C8:G10,5)&amp;" + ("&amp;C12&amp;" - "&amp;VLOOKUP(C12,C8:G10,4)&amp;") * "&amp;VLOOKUP(C12,C8:G10,3)&amp;" = "&amp;VLOOKUP(C12,C8:G10,5)+(C12-VLOOKUP(C12,C8:G10,4))*VLOOKUP(C12,C8:G10,3),"")</f>
        <v>=G10+(C12-F10)*E10 = 139.5 + (137 - 120) * 1.75 = 169.25</v>
      </c>
      <c r="O13" s="82">
        <f>VLOOKUP(C12,C8:G10,5)+(C12-VLOOKUP(C12,C8:G10,4))*VLOOKUP(C12,C8:G10,3)</f>
        <v>169.25</v>
      </c>
    </row>
    <row r="15" spans="1:15" x14ac:dyDescent="0.25">
      <c r="B15" s="78" t="s">
        <v>147</v>
      </c>
    </row>
    <row r="16" spans="1:15" x14ac:dyDescent="0.25">
      <c r="B16" t="str">
        <f>"1) Determine total number of items made:   "&amp;C12</f>
        <v>1) Determine total number of items made:   137</v>
      </c>
    </row>
    <row r="17" spans="1:7" x14ac:dyDescent="0.25">
      <c r="B17" t="str">
        <f>"2) Using the total number of items made, find correct category (row) in the Lookup Table:   "&amp;INDEX(B8:B10,MATCH(C12,C8:C10))</f>
        <v>2) Using the total number of items made, find correct category (row) in the Lookup Table:   121- more</v>
      </c>
    </row>
    <row r="18" spans="1:7" x14ac:dyDescent="0.25">
      <c r="B18" t="str">
        <f>"3) From Column 5, get the amount for "&amp;G7&amp;":   "&amp;VLOOKUP(C12,C8:G10,5)</f>
        <v>3) From Column 5, get the amount for Earnings Made Through Previous Category:   139.5</v>
      </c>
    </row>
    <row r="19" spans="1:7" x14ac:dyDescent="0.25">
      <c r="B19" t="str">
        <f>"4) From Column 4 get "&amp;F7&amp;":   "&amp;VLOOKUP(C12,C8:G10,4)</f>
        <v>4) From Column 4 get Number Made Through Previous Category:   120</v>
      </c>
    </row>
    <row r="20" spans="1:7" x14ac:dyDescent="0.25">
      <c r="B20" t="str">
        <f>"5) From Column 3 get "&amp;E7&amp;":   "&amp;VLOOKUP(C13,C8:G10,3)</f>
        <v>5) From Column 3 get Pay per Unit:   1.75</v>
      </c>
    </row>
    <row r="21" spans="1:7" x14ac:dyDescent="0.25">
      <c r="B21" t="str">
        <f>"6) Make the calculation:   "&amp;VLOOKUP(C12,C8:G10,5)&amp;" + ("&amp;C12&amp;" - "&amp;VLOOKUP(C12,C8:G10,4)&amp;") * "&amp;VLOOKUP(C12,C8:G10,3)&amp;" = "&amp;VLOOKUP(C12,C8:G10,5)+(C12-VLOOKUP(C12,C8:G10,4))*VLOOKUP(C12,C8:G10,3)</f>
        <v>6) Make the calculation:   139.5 + (137 - 120) * 1.75 = 169.25</v>
      </c>
    </row>
    <row r="23" spans="1:7" x14ac:dyDescent="0.25">
      <c r="A23" s="41" t="s">
        <v>151</v>
      </c>
      <c r="B23" s="48" t="s">
        <v>146</v>
      </c>
      <c r="C23" s="42"/>
      <c r="D23" s="42"/>
      <c r="E23" s="42"/>
      <c r="F23" s="42"/>
      <c r="G23" s="43"/>
    </row>
    <row r="24" spans="1:7" x14ac:dyDescent="0.25">
      <c r="B24" s="62" t="str">
        <f>"Employee made "&amp;C34&amp;" boomerangs."</f>
        <v>Employee made 119 boomerangs.</v>
      </c>
      <c r="C24" s="44"/>
      <c r="D24" s="44"/>
      <c r="E24" s="44"/>
      <c r="F24" s="44"/>
      <c r="G24" s="45"/>
    </row>
    <row r="25" spans="1:7" x14ac:dyDescent="0.25">
      <c r="B25" s="77" t="s">
        <v>148</v>
      </c>
      <c r="C25" s="46"/>
      <c r="D25" s="46"/>
      <c r="E25" s="46"/>
      <c r="F25" s="46"/>
      <c r="G25" s="47"/>
    </row>
    <row r="27" spans="1:7" x14ac:dyDescent="0.25">
      <c r="B27" s="83" t="s">
        <v>153</v>
      </c>
      <c r="C27" s="84"/>
      <c r="D27" s="84"/>
      <c r="E27" s="84"/>
      <c r="F27" s="84"/>
      <c r="G27" s="85"/>
    </row>
    <row r="28" spans="1:7" x14ac:dyDescent="0.25">
      <c r="B28" s="81" t="s">
        <v>149</v>
      </c>
      <c r="C28" s="79">
        <v>1</v>
      </c>
      <c r="D28" s="79">
        <v>2</v>
      </c>
      <c r="E28" s="79">
        <v>3</v>
      </c>
      <c r="F28" s="79">
        <v>4</v>
      </c>
      <c r="G28" s="79">
        <v>5</v>
      </c>
    </row>
    <row r="29" spans="1:7" ht="45" x14ac:dyDescent="0.25">
      <c r="B29" s="64" t="s">
        <v>102</v>
      </c>
      <c r="C29" s="64" t="s">
        <v>128</v>
      </c>
      <c r="D29" s="64" t="s">
        <v>129</v>
      </c>
      <c r="E29" s="64" t="s">
        <v>126</v>
      </c>
      <c r="F29" s="64" t="s">
        <v>130</v>
      </c>
      <c r="G29" s="64" t="s">
        <v>163</v>
      </c>
    </row>
    <row r="30" spans="1:7" x14ac:dyDescent="0.25">
      <c r="A30" t="str">
        <f>IF(VLOOKUP($C$34,$C$30:$C$32,1)=C30,"Using "&amp;$C$34&amp;" pick category "&amp;CHAR(26),"")</f>
        <v/>
      </c>
      <c r="B30" s="40" t="str">
        <f>C30&amp;"- "&amp;D30</f>
        <v>0- 75</v>
      </c>
      <c r="C30" s="76">
        <v>0</v>
      </c>
      <c r="D30" s="76">
        <v>75</v>
      </c>
      <c r="E30" s="76">
        <v>1.05</v>
      </c>
      <c r="F30" s="76">
        <v>0</v>
      </c>
      <c r="G30" s="76">
        <v>0</v>
      </c>
    </row>
    <row r="31" spans="1:7" x14ac:dyDescent="0.25">
      <c r="A31" t="str">
        <f t="shared" ref="A31:A32" si="1">IF(VLOOKUP($C$34,$C$30:$C$32,1)=C31,"Using "&amp;$C$34&amp;" pick category "&amp;CHAR(26),"")</f>
        <v>Using 119 pick category _x001A_</v>
      </c>
      <c r="B31" s="40" t="str">
        <f>C31&amp;"- "&amp;D31</f>
        <v>76- 120</v>
      </c>
      <c r="C31" s="76">
        <f>D30+1</f>
        <v>76</v>
      </c>
      <c r="D31" s="76">
        <v>120</v>
      </c>
      <c r="E31" s="76">
        <v>1.35</v>
      </c>
      <c r="F31" s="76">
        <f>D30</f>
        <v>75</v>
      </c>
      <c r="G31" s="76">
        <f>(F31-F30)*E30+G30</f>
        <v>78.75</v>
      </c>
    </row>
    <row r="32" spans="1:7" x14ac:dyDescent="0.25">
      <c r="A32" t="str">
        <f t="shared" si="1"/>
        <v/>
      </c>
      <c r="B32" s="76" t="str">
        <f>C32&amp;"- "&amp;D32</f>
        <v>121- more</v>
      </c>
      <c r="C32" s="76">
        <f>D31+1</f>
        <v>121</v>
      </c>
      <c r="D32" s="76" t="s">
        <v>125</v>
      </c>
      <c r="E32" s="76">
        <v>1.75</v>
      </c>
      <c r="F32" s="76">
        <f>D31</f>
        <v>120</v>
      </c>
      <c r="G32" s="76">
        <f>(F32-F31)*E31+G31</f>
        <v>139.5</v>
      </c>
    </row>
    <row r="34" spans="1:15" x14ac:dyDescent="0.25">
      <c r="B34" s="64" t="s">
        <v>116</v>
      </c>
      <c r="C34" s="40">
        <v>119</v>
      </c>
      <c r="O34" t="s">
        <v>137</v>
      </c>
    </row>
    <row r="35" spans="1:15" x14ac:dyDescent="0.25">
      <c r="B35" s="64" t="s">
        <v>110</v>
      </c>
      <c r="C35" s="60">
        <f>G31+(C34-F31)*E31</f>
        <v>138.15</v>
      </c>
      <c r="E35" t="str">
        <f ca="1">IF(_xlfn.ISFORMULA(C35),_xlfn.FORMULATEXT(C35)&amp;" = "&amp;VLOOKUP(C34,C30:G32,5)&amp;" + ("&amp;C34&amp;" - "&amp;VLOOKUP(C34,C30:G32,4)&amp;") * "&amp;VLOOKUP(C34,C30:G32,3)&amp;" = "&amp;VLOOKUP(C34,C30:G32,5)+(C34-VLOOKUP(C34,C30:G32,4))*VLOOKUP(C34,C30:G32,3),"")</f>
        <v>=G31+(C34-F31)*E31 = 78.75 + (119 - 75) * 1.35 = 138.15</v>
      </c>
      <c r="O35" s="82">
        <f>VLOOKUP(C34,C30:G32,5)+(C34-VLOOKUP(C34,C30:G32,4))*VLOOKUP(C34,C30:G32,3)</f>
        <v>138.15</v>
      </c>
    </row>
    <row r="37" spans="1:15" x14ac:dyDescent="0.25">
      <c r="B37" s="78" t="s">
        <v>147</v>
      </c>
    </row>
    <row r="38" spans="1:15" x14ac:dyDescent="0.25">
      <c r="B38" t="str">
        <f>"1) Determine total number of items made:   "&amp;C34</f>
        <v>1) Determine total number of items made:   119</v>
      </c>
    </row>
    <row r="39" spans="1:15" x14ac:dyDescent="0.25">
      <c r="B39" t="str">
        <f>"2) Using the total number of items made, find correct category (row) in the Lookup Table:   "&amp;INDEX(B30:B32,MATCH(C34,C30:C32))</f>
        <v>2) Using the total number of items made, find correct category (row) in the Lookup Table:   76- 120</v>
      </c>
    </row>
    <row r="40" spans="1:15" x14ac:dyDescent="0.25">
      <c r="B40" t="str">
        <f>"3) From Column 5, get the amount for "&amp;G29&amp;":   "&amp;VLOOKUP(C34,C30:G32,5)</f>
        <v>3) From Column 5, get the amount for Earnings Made Through Previous Category:   78.75</v>
      </c>
    </row>
    <row r="41" spans="1:15" x14ac:dyDescent="0.25">
      <c r="B41" t="str">
        <f>"4) From Column 4 get "&amp;F29&amp;":   "&amp;VLOOKUP(C34,C30:G32,4)</f>
        <v>4) From Column 4 get Number Made Through Previous Category:   75</v>
      </c>
    </row>
    <row r="42" spans="1:15" x14ac:dyDescent="0.25">
      <c r="B42" t="str">
        <f>"5) From Column 3 get "&amp;E29&amp;":   "&amp;VLOOKUP(C34,C30:G32,3)</f>
        <v>5) From Column 3 get Pay per Unit:   1.35</v>
      </c>
    </row>
    <row r="43" spans="1:15" x14ac:dyDescent="0.25">
      <c r="B43" t="str">
        <f>"6) Make the calculation:   "&amp;VLOOKUP(C34,C30:G32,5)&amp;" + ("&amp;C34&amp;" - "&amp;VLOOKUP(C34,C30:G32,4)&amp;") * "&amp;VLOOKUP(C34,C30:G32,3)&amp;" = "&amp;VLOOKUP(C34,C30:G32,5)+(C34-VLOOKUP(C34,C30:G32,4))*VLOOKUP(C34,C30:G32,3)</f>
        <v>6) Make the calculation:   78.75 + (119 - 75) * 1.35 = 138.15</v>
      </c>
    </row>
    <row r="45" spans="1:15" x14ac:dyDescent="0.25">
      <c r="A45" s="41" t="s">
        <v>152</v>
      </c>
      <c r="B45" s="48" t="s">
        <v>146</v>
      </c>
      <c r="C45" s="42"/>
      <c r="D45" s="42"/>
      <c r="E45" s="42"/>
      <c r="F45" s="42"/>
      <c r="G45" s="43"/>
    </row>
    <row r="46" spans="1:15" x14ac:dyDescent="0.25">
      <c r="B46" s="62" t="str">
        <f>"Employee made "&amp;C56&amp;" boomerangs."</f>
        <v>Employee made 74 boomerangs.</v>
      </c>
      <c r="C46" s="44"/>
      <c r="D46" s="44"/>
      <c r="E46" s="44"/>
      <c r="F46" s="44"/>
      <c r="G46" s="45"/>
    </row>
    <row r="47" spans="1:15" x14ac:dyDescent="0.25">
      <c r="B47" s="77" t="s">
        <v>148</v>
      </c>
      <c r="C47" s="46"/>
      <c r="D47" s="46"/>
      <c r="E47" s="46"/>
      <c r="F47" s="46"/>
      <c r="G47" s="47"/>
    </row>
    <row r="49" spans="1:15" x14ac:dyDescent="0.25">
      <c r="B49" s="83" t="s">
        <v>153</v>
      </c>
      <c r="C49" s="84"/>
      <c r="D49" s="84"/>
      <c r="E49" s="84"/>
      <c r="F49" s="84"/>
      <c r="G49" s="85"/>
    </row>
    <row r="50" spans="1:15" x14ac:dyDescent="0.25">
      <c r="B50" s="81" t="s">
        <v>149</v>
      </c>
      <c r="C50" s="79">
        <v>1</v>
      </c>
      <c r="D50" s="79">
        <v>2</v>
      </c>
      <c r="E50" s="79">
        <v>3</v>
      </c>
      <c r="F50" s="79">
        <v>4</v>
      </c>
      <c r="G50" s="79">
        <v>5</v>
      </c>
    </row>
    <row r="51" spans="1:15" ht="45" x14ac:dyDescent="0.25">
      <c r="B51" s="64" t="s">
        <v>102</v>
      </c>
      <c r="C51" s="64" t="s">
        <v>128</v>
      </c>
      <c r="D51" s="64" t="s">
        <v>129</v>
      </c>
      <c r="E51" s="64" t="s">
        <v>126</v>
      </c>
      <c r="F51" s="64" t="s">
        <v>130</v>
      </c>
      <c r="G51" s="64" t="s">
        <v>163</v>
      </c>
    </row>
    <row r="52" spans="1:15" x14ac:dyDescent="0.25">
      <c r="A52" t="str">
        <f>IF(VLOOKUP($C$56,$C$52:$C$54,1)=C52,"Using "&amp;$C$56&amp;" pick category "&amp;CHAR(26),"")</f>
        <v>Using 74 pick category _x001A_</v>
      </c>
      <c r="B52" s="40" t="str">
        <f>C52&amp;"- "&amp;D52</f>
        <v>0- 75</v>
      </c>
      <c r="C52" s="76">
        <v>0</v>
      </c>
      <c r="D52" s="76">
        <v>75</v>
      </c>
      <c r="E52" s="76">
        <v>1.05</v>
      </c>
      <c r="F52" s="76">
        <v>0</v>
      </c>
      <c r="G52" s="76">
        <v>0</v>
      </c>
    </row>
    <row r="53" spans="1:15" x14ac:dyDescent="0.25">
      <c r="A53" t="str">
        <f t="shared" ref="A53:A54" si="2">IF(VLOOKUP($C$56,$C$52:$C$54,1)=C53,"Using "&amp;$C$56&amp;" pick category "&amp;CHAR(26),"")</f>
        <v/>
      </c>
      <c r="B53" s="40" t="str">
        <f>C53&amp;"- "&amp;D53</f>
        <v>76- 120</v>
      </c>
      <c r="C53" s="76">
        <f>D52+1</f>
        <v>76</v>
      </c>
      <c r="D53" s="76">
        <v>120</v>
      </c>
      <c r="E53" s="76">
        <v>1.35</v>
      </c>
      <c r="F53" s="76">
        <f>D52</f>
        <v>75</v>
      </c>
      <c r="G53" s="76">
        <f>(F53-F52)*E52+G52</f>
        <v>78.75</v>
      </c>
    </row>
    <row r="54" spans="1:15" x14ac:dyDescent="0.25">
      <c r="A54" t="str">
        <f t="shared" si="2"/>
        <v/>
      </c>
      <c r="B54" s="76" t="str">
        <f>C54&amp;"- "&amp;D54</f>
        <v>121- more</v>
      </c>
      <c r="C54" s="76">
        <f>D53+1</f>
        <v>121</v>
      </c>
      <c r="D54" s="76" t="s">
        <v>125</v>
      </c>
      <c r="E54" s="76">
        <v>1.75</v>
      </c>
      <c r="F54" s="76">
        <f>D53</f>
        <v>120</v>
      </c>
      <c r="G54" s="76">
        <f>(F54-F53)*E53+G53</f>
        <v>139.5</v>
      </c>
    </row>
    <row r="56" spans="1:15" x14ac:dyDescent="0.25">
      <c r="B56" s="64" t="s">
        <v>116</v>
      </c>
      <c r="C56" s="40">
        <v>74</v>
      </c>
      <c r="O56" t="s">
        <v>137</v>
      </c>
    </row>
    <row r="57" spans="1:15" x14ac:dyDescent="0.25">
      <c r="B57" s="64" t="s">
        <v>110</v>
      </c>
      <c r="C57" s="60">
        <f>G52+(C56-F52)*E52</f>
        <v>77.7</v>
      </c>
      <c r="E57" t="str">
        <f ca="1">IF(_xlfn.ISFORMULA(C57),_xlfn.FORMULATEXT(C57)&amp;" = "&amp;VLOOKUP(C56,C52:G54,5)&amp;" + ("&amp;C56&amp;" - "&amp;VLOOKUP(C56,C52:G54,4)&amp;") * "&amp;VLOOKUP(C56,C52:G54,3)&amp;" = "&amp;VLOOKUP(C56,C52:G54,5)+(C56-VLOOKUP(C56,C52:G54,4))*VLOOKUP(C56,C52:G54,3),"")</f>
        <v>=G52+(C56-F52)*E52 = 0 + (74 - 0) * 1.05 = 77.7</v>
      </c>
      <c r="O57" s="82">
        <f>VLOOKUP(C56,C52:G54,5)+(C56-VLOOKUP(C56,C52:G54,4))*VLOOKUP(C56,C52:G54,3)</f>
        <v>77.7</v>
      </c>
    </row>
    <row r="59" spans="1:15" x14ac:dyDescent="0.25">
      <c r="B59" s="78" t="s">
        <v>147</v>
      </c>
    </row>
    <row r="60" spans="1:15" x14ac:dyDescent="0.25">
      <c r="B60" t="str">
        <f>"1) Determine total number of items made:   "&amp;C56</f>
        <v>1) Determine total number of items made:   74</v>
      </c>
    </row>
    <row r="61" spans="1:15" x14ac:dyDescent="0.25">
      <c r="B61" t="str">
        <f>"2) Using the total number of items made, find correct category (row) in the Lookup Table:   "&amp;INDEX(B52:B54,MATCH(C56,C52:C54))</f>
        <v>2) Using the total number of items made, find correct category (row) in the Lookup Table:   0- 75</v>
      </c>
    </row>
    <row r="62" spans="1:15" x14ac:dyDescent="0.25">
      <c r="B62" t="str">
        <f>"3) From Column 5, get the amount for "&amp;G51&amp;":   "&amp;VLOOKUP(C56,C52:G54,5)</f>
        <v>3) From Column 5, get the amount for Earnings Made Through Previous Category:   0</v>
      </c>
    </row>
    <row r="63" spans="1:15" x14ac:dyDescent="0.25">
      <c r="B63" t="str">
        <f>"4) From Column 4 get "&amp;F51&amp;":   "&amp;VLOOKUP(C56,C52:G54,4)</f>
        <v>4) From Column 4 get Number Made Through Previous Category:   0</v>
      </c>
    </row>
    <row r="64" spans="1:15" x14ac:dyDescent="0.25">
      <c r="B64" t="str">
        <f>"5) From Column 3 get "&amp;E51&amp;":   "&amp;VLOOKUP(C56,C52:G54,3)</f>
        <v>5) From Column 3 get Pay per Unit:   1.05</v>
      </c>
    </row>
    <row r="65" spans="1:7" x14ac:dyDescent="0.25">
      <c r="B65" t="str">
        <f>"6) Make the calculation:   "&amp;VLOOKUP(C56,C52:G54,5)&amp;" + ("&amp;C56&amp;" - "&amp;VLOOKUP(C56,C52:G54,4)&amp;") * "&amp;VLOOKUP(C56,C52:G54,3)&amp;" = "&amp;VLOOKUP(C56,C52:G54,5)+(C56-VLOOKUP(C56,C52:G54,4))*VLOOKUP(C56,C52:G54,3)</f>
        <v>6) Make the calculation:   0 + (74 - 0) * 1.05 = 77.7</v>
      </c>
    </row>
    <row r="67" spans="1:7" x14ac:dyDescent="0.25">
      <c r="A67" s="41" t="s">
        <v>172</v>
      </c>
      <c r="B67" s="48" t="s">
        <v>146</v>
      </c>
      <c r="C67" s="42"/>
      <c r="D67" s="42"/>
      <c r="E67" s="42"/>
      <c r="F67" s="42"/>
      <c r="G67" s="43"/>
    </row>
    <row r="68" spans="1:7" x14ac:dyDescent="0.25">
      <c r="B68" s="62" t="str">
        <f>"Employee made "&amp;C81&amp;" boomerangs."</f>
        <v>Employee made 137 boomerangs.</v>
      </c>
      <c r="C68" s="44"/>
      <c r="D68" s="44"/>
      <c r="E68" s="44"/>
      <c r="F68" s="44"/>
      <c r="G68" s="45"/>
    </row>
    <row r="69" spans="1:7" x14ac:dyDescent="0.25">
      <c r="B69" s="77" t="s">
        <v>148</v>
      </c>
      <c r="C69" s="46"/>
      <c r="D69" s="46"/>
      <c r="E69" s="46"/>
      <c r="F69" s="46"/>
      <c r="G69" s="47"/>
    </row>
    <row r="71" spans="1:7" x14ac:dyDescent="0.25">
      <c r="B71" s="83" t="s">
        <v>153</v>
      </c>
      <c r="C71" s="84"/>
      <c r="D71" s="84"/>
      <c r="E71" s="84"/>
      <c r="F71" s="84"/>
      <c r="G71" s="85"/>
    </row>
    <row r="72" spans="1:7" x14ac:dyDescent="0.25">
      <c r="B72" s="81" t="s">
        <v>149</v>
      </c>
      <c r="C72" s="79">
        <v>1</v>
      </c>
      <c r="D72" s="79">
        <v>2</v>
      </c>
      <c r="E72" s="79">
        <v>3</v>
      </c>
      <c r="F72" s="79">
        <v>4</v>
      </c>
      <c r="G72" s="79">
        <v>5</v>
      </c>
    </row>
    <row r="73" spans="1:7" ht="45" x14ac:dyDescent="0.25">
      <c r="B73" s="64" t="s">
        <v>102</v>
      </c>
      <c r="C73" s="64" t="s">
        <v>128</v>
      </c>
      <c r="D73" s="64" t="s">
        <v>129</v>
      </c>
      <c r="E73" s="64" t="s">
        <v>126</v>
      </c>
      <c r="F73" s="64" t="s">
        <v>130</v>
      </c>
      <c r="G73" s="64" t="s">
        <v>163</v>
      </c>
    </row>
    <row r="74" spans="1:7" x14ac:dyDescent="0.25">
      <c r="A74" t="str">
        <f>IF(VLOOKUP($C$81,$C$74:$C$79,1)=C74,"Using "&amp;$C$81&amp;" pick category "&amp;CHAR(26),"")</f>
        <v/>
      </c>
      <c r="B74" s="40" t="str">
        <f>C74&amp;"- "&amp;D74</f>
        <v>0- 50</v>
      </c>
      <c r="C74" s="76">
        <v>0</v>
      </c>
      <c r="D74" s="76">
        <v>50</v>
      </c>
      <c r="E74" s="87">
        <v>1</v>
      </c>
      <c r="F74" s="76">
        <v>0</v>
      </c>
      <c r="G74" s="76">
        <v>0</v>
      </c>
    </row>
    <row r="75" spans="1:7" x14ac:dyDescent="0.25">
      <c r="A75" t="str">
        <f t="shared" ref="A75:A79" si="3">IF(VLOOKUP($C$81,$C$74:$C$79,1)=C75,"Using "&amp;$C$81&amp;" pick category "&amp;CHAR(26),"")</f>
        <v/>
      </c>
      <c r="B75" s="40" t="str">
        <f t="shared" ref="B75:B79" si="4">C75&amp;"- "&amp;D75</f>
        <v>51- 75</v>
      </c>
      <c r="C75" s="76">
        <f t="shared" ref="C75:C79" si="5">D74+1</f>
        <v>51</v>
      </c>
      <c r="D75" s="76">
        <v>75</v>
      </c>
      <c r="E75" s="87">
        <v>1.1000000000000001</v>
      </c>
      <c r="F75" s="76">
        <f>D74</f>
        <v>50</v>
      </c>
      <c r="G75" s="87">
        <f>(F75-F74)*E74+G74</f>
        <v>50</v>
      </c>
    </row>
    <row r="76" spans="1:7" x14ac:dyDescent="0.25">
      <c r="A76" t="str">
        <f t="shared" si="3"/>
        <v/>
      </c>
      <c r="B76" s="40" t="str">
        <f t="shared" si="4"/>
        <v>76- 110</v>
      </c>
      <c r="C76" s="76">
        <f t="shared" si="5"/>
        <v>76</v>
      </c>
      <c r="D76" s="76">
        <v>110</v>
      </c>
      <c r="E76" s="87">
        <v>1.25</v>
      </c>
      <c r="F76" s="76">
        <f t="shared" ref="F76:F79" si="6">D75</f>
        <v>75</v>
      </c>
      <c r="G76" s="87">
        <f t="shared" ref="G76:G79" si="7">(F76-F75)*E75+G75</f>
        <v>77.5</v>
      </c>
    </row>
    <row r="77" spans="1:7" x14ac:dyDescent="0.25">
      <c r="A77" t="str">
        <f t="shared" si="3"/>
        <v/>
      </c>
      <c r="B77" s="40" t="str">
        <f t="shared" si="4"/>
        <v>111- 130</v>
      </c>
      <c r="C77" s="76">
        <f t="shared" si="5"/>
        <v>111</v>
      </c>
      <c r="D77" s="76">
        <v>130</v>
      </c>
      <c r="E77" s="87">
        <v>1.5</v>
      </c>
      <c r="F77" s="76">
        <f t="shared" si="6"/>
        <v>110</v>
      </c>
      <c r="G77" s="87">
        <f t="shared" si="7"/>
        <v>121.25</v>
      </c>
    </row>
    <row r="78" spans="1:7" x14ac:dyDescent="0.25">
      <c r="A78" t="str">
        <f t="shared" si="3"/>
        <v>Using 137 pick category _x001A_</v>
      </c>
      <c r="B78" s="40" t="str">
        <f t="shared" si="4"/>
        <v>131- 150</v>
      </c>
      <c r="C78" s="76">
        <f t="shared" si="5"/>
        <v>131</v>
      </c>
      <c r="D78" s="76">
        <v>150</v>
      </c>
      <c r="E78" s="87">
        <v>1.75</v>
      </c>
      <c r="F78" s="76">
        <f t="shared" si="6"/>
        <v>130</v>
      </c>
      <c r="G78" s="87">
        <f t="shared" si="7"/>
        <v>151.25</v>
      </c>
    </row>
    <row r="79" spans="1:7" x14ac:dyDescent="0.25">
      <c r="A79" t="str">
        <f t="shared" si="3"/>
        <v/>
      </c>
      <c r="B79" s="40" t="str">
        <f t="shared" si="4"/>
        <v>151- more</v>
      </c>
      <c r="C79" s="76">
        <f t="shared" si="5"/>
        <v>151</v>
      </c>
      <c r="D79" s="76" t="s">
        <v>125</v>
      </c>
      <c r="E79" s="87">
        <v>2</v>
      </c>
      <c r="F79" s="76">
        <f t="shared" si="6"/>
        <v>150</v>
      </c>
      <c r="G79" s="87">
        <f t="shared" si="7"/>
        <v>186.25</v>
      </c>
    </row>
    <row r="81" spans="2:15" x14ac:dyDescent="0.25">
      <c r="B81" s="64" t="s">
        <v>116</v>
      </c>
      <c r="C81" s="40">
        <v>137</v>
      </c>
      <c r="O81" t="s">
        <v>137</v>
      </c>
    </row>
    <row r="82" spans="2:15" x14ac:dyDescent="0.25">
      <c r="B82" s="64" t="s">
        <v>110</v>
      </c>
      <c r="C82" s="57">
        <f>G78+(C81-F78)*E78</f>
        <v>163.5</v>
      </c>
      <c r="E82" t="str">
        <f ca="1">IF(_xlfn.ISFORMULA(C82),_xlfn.FORMULATEXT(C82)&amp;" = "&amp;VLOOKUP(C81,C74:G79,5)&amp;" + ("&amp;C81&amp;" - "&amp;VLOOKUP(C81,C74:G79,4)&amp;") * "&amp;VLOOKUP(C81,C74:G79,3)&amp;" = "&amp;VLOOKUP(C81,C74:G79,5)+(C81-VLOOKUP(C81,C74:G79,4))*VLOOKUP(C81,C74:G79,3),"")</f>
        <v>=G78+(C81-F78)*E78 = 151.25 + (137 - 130) * 1.75 = 163.5</v>
      </c>
      <c r="O82" s="82">
        <f>VLOOKUP(C81,C74:G79,5)+(C81-VLOOKUP(C81,C74:G79,4))*VLOOKUP(C81,C74:G79,3)</f>
        <v>163.5</v>
      </c>
    </row>
    <row r="83" spans="2:15" x14ac:dyDescent="0.25">
      <c r="C83" s="158">
        <f>D74*E74+(D75-D74)*E75+(D76-D75)*E76+(D77-D76)*E77+(C81-D77)*E78</f>
        <v>163.5</v>
      </c>
      <c r="E83" t="str">
        <f ca="1">IF(_xlfn.ISFORMULA(C83),_xlfn.FORMULATEXT(C83),"")</f>
        <v>=D74*E74+(D75-D74)*E75+(D76-D75)*E76+(D77-D76)*E77+(C81-D77)*E78</v>
      </c>
    </row>
    <row r="84" spans="2:15" x14ac:dyDescent="0.25">
      <c r="B84" s="78" t="s">
        <v>147</v>
      </c>
    </row>
    <row r="85" spans="2:15" x14ac:dyDescent="0.25">
      <c r="B85" t="str">
        <f>"1) Determine total number of items made:   "&amp;C81</f>
        <v>1) Determine total number of items made:   137</v>
      </c>
    </row>
    <row r="86" spans="2:15" x14ac:dyDescent="0.25">
      <c r="B86" t="str">
        <f>"2) Using the total number of items made, find correct category (row) in the Lookup Table:   "&amp;INDEX(B74:B79,MATCH(C81,C74:C79))</f>
        <v>2) Using the total number of items made, find correct category (row) in the Lookup Table:   131- 150</v>
      </c>
    </row>
    <row r="87" spans="2:15" x14ac:dyDescent="0.25">
      <c r="B87" t="str">
        <f>"3) From Column 5, get the amount for "&amp;G73&amp;":   "&amp;VLOOKUP(C81,C74:G79,5)</f>
        <v>3) From Column 5, get the amount for Earnings Made Through Previous Category:   151.25</v>
      </c>
    </row>
    <row r="88" spans="2:15" x14ac:dyDescent="0.25">
      <c r="B88" t="str">
        <f>"4) From Column 4 get "&amp;F73&amp;":   "&amp;VLOOKUP(C81,C74:G79,4)</f>
        <v>4) From Column 4 get Number Made Through Previous Category:   130</v>
      </c>
    </row>
    <row r="89" spans="2:15" x14ac:dyDescent="0.25">
      <c r="B89" t="str">
        <f>"5) From Column 3 get "&amp;E73&amp;":   "&amp;VLOOKUP(C81,C74:G79,3)</f>
        <v>5) From Column 3 get Pay per Unit:   1.75</v>
      </c>
    </row>
    <row r="90" spans="2:15" x14ac:dyDescent="0.25">
      <c r="B90" t="str">
        <f>"6) Make the calculation:   "&amp;VLOOKUP(C81,C74:G79,5)&amp;" + ("&amp;C81&amp;" - "&amp;VLOOKUP(C81,C74:G79,4)&amp;") * "&amp;VLOOKUP(C81,C74:G79,3)&amp;" = "&amp;VLOOKUP(C81,C74:G79,5)+(C81-VLOOKUP(C81,C74:G79,4))*VLOOKUP(C81,C74:G79,3)</f>
        <v>6) Make the calculation:   151.25 + (137 - 130) * 1.75 = 163.5</v>
      </c>
    </row>
  </sheetData>
  <conditionalFormatting sqref="A8:G10">
    <cfRule type="expression" dxfId="7" priority="4">
      <formula>VLOOKUP($C$12,$C$8:$C$10,1)=$C8</formula>
    </cfRule>
  </conditionalFormatting>
  <conditionalFormatting sqref="A30:G32">
    <cfRule type="expression" dxfId="6" priority="3">
      <formula>VLOOKUP($C$34,$C$30:$C$32,1)=$C30</formula>
    </cfRule>
  </conditionalFormatting>
  <conditionalFormatting sqref="A52:G54">
    <cfRule type="expression" dxfId="5" priority="2">
      <formula>VLOOKUP($C$56,$C$52:$C$54,1)=$C52</formula>
    </cfRule>
  </conditionalFormatting>
  <conditionalFormatting sqref="A74:G79">
    <cfRule type="expression" dxfId="4" priority="1">
      <formula>VLOOKUP($C$81,$C$74:$C$79,1)=$C74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0507D-FA84-4D3D-8334-A62AABF2EA64}">
  <sheetPr>
    <tabColor rgb="FFFFFF00"/>
  </sheetPr>
  <dimension ref="A1:B8"/>
  <sheetViews>
    <sheetView zoomScale="205" zoomScaleNormal="205" workbookViewId="0">
      <selection activeCell="B4" sqref="B4"/>
    </sheetView>
  </sheetViews>
  <sheetFormatPr defaultRowHeight="15" x14ac:dyDescent="0.25"/>
  <cols>
    <col min="2" max="2" width="74.85546875" customWidth="1"/>
  </cols>
  <sheetData>
    <row r="1" spans="1:2" x14ac:dyDescent="0.25">
      <c r="A1" s="41" t="s">
        <v>157</v>
      </c>
      <c r="B1" s="41" t="s">
        <v>147</v>
      </c>
    </row>
    <row r="2" spans="1:2" x14ac:dyDescent="0.25">
      <c r="A2">
        <v>1</v>
      </c>
      <c r="B2" t="s">
        <v>156</v>
      </c>
    </row>
    <row r="3" spans="1:2" x14ac:dyDescent="0.25">
      <c r="A3">
        <v>2</v>
      </c>
      <c r="B3" t="s">
        <v>159</v>
      </c>
    </row>
    <row r="4" spans="1:2" x14ac:dyDescent="0.25">
      <c r="A4">
        <v>3</v>
      </c>
      <c r="B4" t="s">
        <v>160</v>
      </c>
    </row>
    <row r="5" spans="1:2" x14ac:dyDescent="0.25">
      <c r="A5">
        <v>4</v>
      </c>
      <c r="B5" t="s">
        <v>154</v>
      </c>
    </row>
    <row r="6" spans="1:2" x14ac:dyDescent="0.25">
      <c r="A6">
        <v>5</v>
      </c>
      <c r="B6" t="s">
        <v>155</v>
      </c>
    </row>
    <row r="7" spans="1:2" x14ac:dyDescent="0.25">
      <c r="A7">
        <v>6</v>
      </c>
      <c r="B7" t="s">
        <v>158</v>
      </c>
    </row>
    <row r="8" spans="1:2" ht="30" x14ac:dyDescent="0.25">
      <c r="B8" s="86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47</vt:i4>
      </vt:variant>
    </vt:vector>
  </HeadingPairs>
  <TitlesOfParts>
    <vt:vector size="47" baseType="lpstr">
      <vt:lpstr>Cover</vt:lpstr>
      <vt:lpstr>Incentive Pay</vt:lpstr>
      <vt:lpstr>S P</vt:lpstr>
      <vt:lpstr>S P (an)</vt:lpstr>
      <vt:lpstr>V P Long-Hand</vt:lpstr>
      <vt:lpstr>V P Long-Hand (an)</vt:lpstr>
      <vt:lpstr>V P Lookup Table</vt:lpstr>
      <vt:lpstr>V P Lookup Table (an)</vt:lpstr>
      <vt:lpstr>Steps for Using Lookup Table</vt:lpstr>
      <vt:lpstr>V P Create Lookup Table</vt:lpstr>
      <vt:lpstr>V P Create Lookup Table (an)</vt:lpstr>
      <vt:lpstr>V P VLOOKUP(1)</vt:lpstr>
      <vt:lpstr>V P VLOOKUP(1an)</vt:lpstr>
      <vt:lpstr>V P VLOOKUP(2)</vt:lpstr>
      <vt:lpstr>V P VLOOKUP(2an)</vt:lpstr>
      <vt:lpstr>Mash VLOOKUP</vt:lpstr>
      <vt:lpstr>Mash VLOOKUP (an)</vt:lpstr>
      <vt:lpstr>Lookup is Everywhere!!!</vt:lpstr>
      <vt:lpstr>S C (1)</vt:lpstr>
      <vt:lpstr>S C (1an)</vt:lpstr>
      <vt:lpstr>S C (2)</vt:lpstr>
      <vt:lpstr>S C (2an)</vt:lpstr>
      <vt:lpstr>V C (1)</vt:lpstr>
      <vt:lpstr>V C (1an)</vt:lpstr>
      <vt:lpstr>C R Based on Sales Amount</vt:lpstr>
      <vt:lpstr>C R Based on Sales Amount (an)</vt:lpstr>
      <vt:lpstr>HW==&gt;&gt;</vt:lpstr>
      <vt:lpstr>HW(1)</vt:lpstr>
      <vt:lpstr>HW(1an)</vt:lpstr>
      <vt:lpstr>HW(2)</vt:lpstr>
      <vt:lpstr>HW(2an)</vt:lpstr>
      <vt:lpstr>HW(3)</vt:lpstr>
      <vt:lpstr>HW(3an)</vt:lpstr>
      <vt:lpstr>HW(4)</vt:lpstr>
      <vt:lpstr>HW(4an)</vt:lpstr>
      <vt:lpstr>HW(5)</vt:lpstr>
      <vt:lpstr>HW(5an)</vt:lpstr>
      <vt:lpstr>HW(6)</vt:lpstr>
      <vt:lpstr>HW(6an)</vt:lpstr>
      <vt:lpstr>HW(7)</vt:lpstr>
      <vt:lpstr>HW(7an)</vt:lpstr>
      <vt:lpstr>HW(8)</vt:lpstr>
      <vt:lpstr>HW(8an)</vt:lpstr>
      <vt:lpstr>HW(9)</vt:lpstr>
      <vt:lpstr>HW(9an)</vt:lpstr>
      <vt:lpstr>HW(10)</vt:lpstr>
      <vt:lpstr>HW(10an)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cp:lastPrinted>2018-02-25T19:28:31Z</cp:lastPrinted>
  <dcterms:created xsi:type="dcterms:W3CDTF">2018-02-22T22:37:51Z</dcterms:created>
  <dcterms:modified xsi:type="dcterms:W3CDTF">2021-02-24T02:15:52Z</dcterms:modified>
</cp:coreProperties>
</file>