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drawings/drawing7.xml" ContentType="application/vnd.openxmlformats-officedocument.drawing+xml"/>
  <Override PartName="/xl/worksheets/sheet46.xml" ContentType="application/vnd.openxmlformats-officedocument.spreadsheetml.worksheet+xml"/>
  <Override PartName="/xl/drawings/drawing8.xml" ContentType="application/vnd.openxmlformats-officedocument.drawing+xml"/>
  <Override PartName="/xl/worksheets/sheet47.xml" ContentType="application/vnd.openxmlformats-officedocument.spreadsheetml.worksheet+xml"/>
  <Override PartName="/xl/drawings/drawing9.xml" ContentType="application/vnd.openxmlformats-officedocument.drawing+xml"/>
  <Override PartName="/xl/worksheets/sheet48.xml" ContentType="application/vnd.openxmlformats-officedocument.spreadsheetml.worksheet+xml"/>
  <Override PartName="/xl/drawings/drawing10.xml" ContentType="application/vnd.openxmlformats-officedocument.drawing+xml"/>
  <Override PartName="/xl/worksheets/sheet49.xml" ContentType="application/vnd.openxmlformats-officedocument.spreadsheetml.worksheet+xml"/>
  <Override PartName="/xl/drawings/drawing11.xml" ContentType="application/vnd.openxmlformats-officedocument.drawing+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1355" windowHeight="6150" tabRatio="792" activeTab="0"/>
  </bookViews>
  <sheets>
    <sheet name="CreditCard&amp;SalesTax" sheetId="1" r:id="rId1"/>
    <sheet name="Merch. Accounts" sheetId="2" r:id="rId2"/>
    <sheet name="Inv.1" sheetId="3" r:id="rId3"/>
    <sheet name="PurchaseCashDiscounts" sheetId="4" r:id="rId4"/>
    <sheet name="Inv.2" sheetId="5" r:id="rId5"/>
    <sheet name="SalesCashDiscount" sheetId="6" r:id="rId6"/>
    <sheet name="Cash Discounts" sheetId="7" r:id="rId7"/>
    <sheet name="Notes Payable" sheetId="8" r:id="rId8"/>
    <sheet name="P 11-4A ==&gt;" sheetId="9" r:id="rId9"/>
    <sheet name="Assumptions" sheetId="10" r:id="rId10"/>
    <sheet name="Transactions" sheetId="11" r:id="rId11"/>
    <sheet name="Sales" sheetId="12" r:id="rId12"/>
    <sheet name="Purchase" sheetId="13" r:id="rId13"/>
    <sheet name="Cash Rec." sheetId="14" r:id="rId14"/>
    <sheet name="Cash Pay." sheetId="15" r:id="rId15"/>
    <sheet name="General" sheetId="16" r:id="rId16"/>
    <sheet name="Ledgers" sheetId="17" r:id="rId17"/>
    <sheet name="AR Ledgers" sheetId="18" r:id="rId18"/>
    <sheet name="AP Ledgers" sheetId="19" r:id="rId19"/>
    <sheet name="Trial Bal." sheetId="20" r:id="rId20"/>
    <sheet name="Schedules of AR &amp; AP" sheetId="21" r:id="rId21"/>
    <sheet name="Sheet17" sheetId="22" r:id="rId22"/>
    <sheet name="Sheet16" sheetId="23" r:id="rId23"/>
    <sheet name="Sheet15" sheetId="24" r:id="rId24"/>
    <sheet name="Sheet14" sheetId="25" r:id="rId25"/>
    <sheet name="Sheet13" sheetId="26" r:id="rId26"/>
    <sheet name="Sheet12" sheetId="27" r:id="rId27"/>
    <sheet name="Sheet11" sheetId="28" r:id="rId28"/>
    <sheet name="Sheet10" sheetId="29" r:id="rId29"/>
    <sheet name="Sheet9" sheetId="30" r:id="rId30"/>
    <sheet name="Sheet8" sheetId="31" r:id="rId31"/>
    <sheet name="Sheet7" sheetId="32" r:id="rId32"/>
    <sheet name="Sheet6" sheetId="33" r:id="rId33"/>
    <sheet name="Sheet5" sheetId="34" r:id="rId34"/>
    <sheet name="Sheet4" sheetId="35" r:id="rId35"/>
    <sheet name="Sheet3" sheetId="36" r:id="rId36"/>
    <sheet name="Sheet2" sheetId="37" r:id="rId37"/>
    <sheet name="Sheet1" sheetId="38" r:id="rId38"/>
    <sheet name="CreditCard&amp;SalesTax (an)" sheetId="39" r:id="rId39"/>
    <sheet name="PurchaseCashDiscounts (an)" sheetId="40" r:id="rId40"/>
    <sheet name="SalesCashDiscount (an)" sheetId="41" r:id="rId41"/>
    <sheet name="Notes Payable (an)" sheetId="42" r:id="rId42"/>
    <sheet name="P 11-4A ==&gt; (an)" sheetId="43" r:id="rId43"/>
    <sheet name="Assumptions (an)" sheetId="44" r:id="rId44"/>
    <sheet name="Sales (an)" sheetId="45" r:id="rId45"/>
    <sheet name="Purchase (an)" sheetId="46" r:id="rId46"/>
    <sheet name="Cash Rec. (an)" sheetId="47" r:id="rId47"/>
    <sheet name="Cash Pay. (an)" sheetId="48" r:id="rId48"/>
    <sheet name="General (an)" sheetId="49" r:id="rId49"/>
    <sheet name="Ledgers (an)" sheetId="50" r:id="rId50"/>
    <sheet name="AR Ledgers (an)" sheetId="51" r:id="rId51"/>
    <sheet name="AP Ledgers (an)" sheetId="52" r:id="rId52"/>
    <sheet name="Trial Bal. (an)" sheetId="53" r:id="rId53"/>
    <sheet name="Schedules of AR &amp; AP (an)" sheetId="54" r:id="rId54"/>
  </sheets>
  <externalReferences>
    <externalReference r:id="rId57"/>
  </externalReferences>
  <definedNames>
    <definedName name="AccNames">OFFSET('Assumptions'!$B$3,0,0,COUNTA('Assumptions'!$B$3:$B$28),2)</definedName>
    <definedName name="AccNames4B">OFFSET('[1]Assumptions (4B)'!$B$3,0,0,COUNTA('[1]Assumptions (4B)'!$B$3:$B$28),2)</definedName>
    <definedName name="AccNo">OFFSET('Assumptions'!$B$3,0,0,COUNTA('Assumptions'!$B$3:$B$28),1)</definedName>
    <definedName name="AccNo4B">OFFSET('[1]Assumptions (4B)'!$B$3,0,0,COUNTA('[1]Assumptions (4B)'!$B$3:$B$28),1)</definedName>
    <definedName name="Customers">OFFSET('Assumptions'!$H$54,0,0,COUNTA('Assumptions'!$H$54:$H$60),1)</definedName>
    <definedName name="Customers4B">OFFSET('[1]Assumptions (4B)'!$H$54,0,0,COUNTA('[1]Assumptions (4B)'!$H$54:$H$60),1)</definedName>
    <definedName name="DropDownList">OFFSET('Assumptions'!$L$62,0,0,COUNTA('Assumptions'!$L$62:$L$99),1)</definedName>
    <definedName name="ItemNames">OFFSET('Assumptions'!$G$39,0,0,4,1)</definedName>
    <definedName name="ItemsNames4B">OFFSET('[1]Assumptions (4B)'!$G$39,0,0,4,1)</definedName>
    <definedName name="JournalNo">OFFSET('Assumptions'!$G$43,0,0,COUNTA('Assumptions'!$G$43:$G$48),1)</definedName>
    <definedName name="JournalNo4B">OFFSET('[1]Assumptions (4B)'!$G$43,0,0,COUNTA('[1]Assumptions (4B)'!$G$43:$G$48),1)</definedName>
    <definedName name="_xlnm.Print_Area" localSheetId="6">'Cash Discounts'!$A$6:$J$15</definedName>
    <definedName name="_xlnm.Print_Area" localSheetId="2">'Inv.1'!$B$2:$N$37</definedName>
    <definedName name="_xlnm.Print_Area" localSheetId="4">'Inv.2'!$B$2:$N$37</definedName>
    <definedName name="Suppliers">OFFSET('Assumptions'!$J$54,0,0,COUNTA('Assumptions'!$J$54:$J$60),1)</definedName>
    <definedName name="Suppliers4B">OFFSET('[1]Assumptions (4B)'!$J$54,0,0,COUNTA('[1]Assumptions (4B)'!$J$54:$J$60),1)</definedName>
  </definedNames>
  <calcPr fullCalcOnLoad="1"/>
</workbook>
</file>

<file path=xl/sharedStrings.xml><?xml version="1.0" encoding="utf-8"?>
<sst xmlns="http://schemas.openxmlformats.org/spreadsheetml/2006/main" count="1437" uniqueCount="259">
  <si>
    <t>Discount</t>
  </si>
  <si>
    <t>Discount within
days</t>
  </si>
  <si>
    <t>Pay within
days</t>
  </si>
  <si>
    <t>Days in
year</t>
  </si>
  <si>
    <t>How many
days you pay
early</t>
  </si>
  <si>
    <t>But what is the Annual Rate?</t>
  </si>
  <si>
    <t>Borrow money to pay Invoice early is profitable</t>
  </si>
  <si>
    <t>Annual rate bank
charges for you to
take out loan</t>
  </si>
  <si>
    <t>Amount paid
in 20 days:</t>
  </si>
  <si>
    <t>Interest
paid</t>
  </si>
  <si>
    <t>Net gain =</t>
  </si>
  <si>
    <t>Invoice Total for
5 Boomerangs =</t>
  </si>
  <si>
    <t>Rates</t>
  </si>
  <si>
    <t xml:space="preserve">(8.25%) Sales Tax
100 x 8.25% = </t>
  </si>
  <si>
    <t>Total</t>
  </si>
  <si>
    <t>(3.5%) Credit Card Expense
108.25 x 3.5% =</t>
  </si>
  <si>
    <t>Credit Card Co. Deposits $ in
Business Checking Account
108.25 - 3.79 =</t>
  </si>
  <si>
    <t>Date</t>
  </si>
  <si>
    <t>Description</t>
  </si>
  <si>
    <t>Post.
Ref.</t>
  </si>
  <si>
    <t>Debit</t>
  </si>
  <si>
    <t>Credit</t>
  </si>
  <si>
    <t>Feb</t>
  </si>
  <si>
    <t>Cash</t>
  </si>
  <si>
    <t>Credit Card Expense</t>
  </si>
  <si>
    <t>Sales Tax Payable</t>
  </si>
  <si>
    <t>Boomerang Sales Revenue</t>
  </si>
  <si>
    <t>Credit Card Sales: Deposit from Credit Card Company for sale of boomerangs</t>
  </si>
  <si>
    <t>Assets</t>
  </si>
  <si>
    <t xml:space="preserve"> =</t>
  </si>
  <si>
    <t>Liabilities</t>
  </si>
  <si>
    <t xml:space="preserve"> +</t>
  </si>
  <si>
    <t>Owner's Equity</t>
  </si>
  <si>
    <t>Revenues</t>
  </si>
  <si>
    <t xml:space="preserve"> -</t>
  </si>
  <si>
    <t>Expenses</t>
  </si>
  <si>
    <t>+</t>
  </si>
  <si>
    <t>-</t>
  </si>
  <si>
    <t>DR</t>
  </si>
  <si>
    <t>CR</t>
  </si>
  <si>
    <t>Merchandise
Inventory</t>
  </si>
  <si>
    <t>Sales Tax
Payable</t>
  </si>
  <si>
    <t>Sales</t>
  </si>
  <si>
    <t>Purchases</t>
  </si>
  <si>
    <t>Sales Returns
and Allowances</t>
  </si>
  <si>
    <t xml:space="preserve"> -  - </t>
  </si>
  <si>
    <t>Purchases Returns
and Allowances</t>
  </si>
  <si>
    <t>Sales Discount</t>
  </si>
  <si>
    <t>Purchases
Discounts</t>
  </si>
  <si>
    <t>Freight In</t>
  </si>
  <si>
    <t>Check</t>
  </si>
  <si>
    <t>Plywood Wholesalers
5543 92nd Ave. S.
Alderwood, CA 92110</t>
  </si>
  <si>
    <t>Invoice No.</t>
  </si>
  <si>
    <t>Other</t>
  </si>
  <si>
    <t>INVOICE</t>
  </si>
  <si>
    <t>Customer</t>
  </si>
  <si>
    <t>Misc</t>
  </si>
  <si>
    <t>Name</t>
  </si>
  <si>
    <t>Gel Boomerangs</t>
  </si>
  <si>
    <t>Address</t>
  </si>
  <si>
    <t>2124 Kittredge St. PMB 61</t>
  </si>
  <si>
    <t>Order No.</t>
  </si>
  <si>
    <t>City</t>
  </si>
  <si>
    <t xml:space="preserve">Berkeley </t>
  </si>
  <si>
    <t>State</t>
  </si>
  <si>
    <t>CA</t>
  </si>
  <si>
    <t>ZIP</t>
  </si>
  <si>
    <t>94704</t>
  </si>
  <si>
    <t>Rep</t>
  </si>
  <si>
    <t>Phone</t>
  </si>
  <si>
    <t>FOB</t>
  </si>
  <si>
    <t>Destination</t>
  </si>
  <si>
    <t>Qty</t>
  </si>
  <si>
    <t>Unit Price</t>
  </si>
  <si>
    <t>TOTAL</t>
  </si>
  <si>
    <t>Sheets 10 ply, 5mm, Finish Birch</t>
  </si>
  <si>
    <t xml:space="preserve">Terms: 1/15,N/45 </t>
  </si>
  <si>
    <t xml:space="preserve">SubTotal  </t>
  </si>
  <si>
    <t xml:space="preserve">Shipping  </t>
  </si>
  <si>
    <t>Payment</t>
  </si>
  <si>
    <t>Select One…</t>
  </si>
  <si>
    <t>Tax Rate(s)</t>
  </si>
  <si>
    <t>Comments</t>
  </si>
  <si>
    <t xml:space="preserve">TOTAL  </t>
  </si>
  <si>
    <t>CC #</t>
  </si>
  <si>
    <t>Office Use Only</t>
  </si>
  <si>
    <t>Expires</t>
  </si>
  <si>
    <t>Invoice Total =</t>
  </si>
  <si>
    <t>Discount
450 x 1% =</t>
  </si>
  <si>
    <t>Cash We Pay</t>
  </si>
  <si>
    <t>Accounts Payable - Plywood Wholesaler</t>
  </si>
  <si>
    <t>Purchase Discount</t>
  </si>
  <si>
    <t>Pay Inv # 344 with Ch# 4567, paying within discount period</t>
  </si>
  <si>
    <t>Gel Boomerangs
2124 Kittredge St. PMB 61
Berkeley, CA 94704</t>
  </si>
  <si>
    <t>Kite Flight</t>
  </si>
  <si>
    <t>1414 43rd Ave.</t>
  </si>
  <si>
    <t>Watermore</t>
  </si>
  <si>
    <t>MD</t>
  </si>
  <si>
    <t>40025</t>
  </si>
  <si>
    <t>Shipping Point</t>
  </si>
  <si>
    <t>Bellens</t>
  </si>
  <si>
    <t>Duece</t>
  </si>
  <si>
    <t xml:space="preserve">Terms: 2/10,N/30 </t>
  </si>
  <si>
    <t>Our Customers Have Many Happy Returns!</t>
  </si>
  <si>
    <t>Discount
250 x 2% =</t>
  </si>
  <si>
    <t>Cash We Receive</t>
  </si>
  <si>
    <t>Accounts Receivable - Kite Flight</t>
  </si>
  <si>
    <t>Kite Flight Pays by Ch# 2310, paying within discount period</t>
  </si>
  <si>
    <t>March</t>
  </si>
  <si>
    <t>Notes Payable</t>
  </si>
  <si>
    <t>Interest Expense</t>
  </si>
  <si>
    <t>Pay BofA for Loan with Interest of $60 with Ch# 4467</t>
  </si>
  <si>
    <t>Actual annual
rate earned by
paying early
(1 + discount)^(n-1)
n = periods/year</t>
  </si>
  <si>
    <t>Received $600 Loan from BofA @ 10%</t>
  </si>
  <si>
    <t>Chart of Accounts and Trial Balance</t>
  </si>
  <si>
    <t>Classification</t>
  </si>
  <si>
    <t>AccNo</t>
  </si>
  <si>
    <t>AccNames</t>
  </si>
  <si>
    <t>Accounts Receivable</t>
  </si>
  <si>
    <t>Merchandise Inventory</t>
  </si>
  <si>
    <t>Supplies</t>
  </si>
  <si>
    <t>Prepaid Insurance</t>
  </si>
  <si>
    <t>Equipment</t>
  </si>
  <si>
    <t>Accounts Payable</t>
  </si>
  <si>
    <t>Salaries Payable</t>
  </si>
  <si>
    <t>Employees' Federal Tax Payable</t>
  </si>
  <si>
    <t>FICA Payable</t>
  </si>
  <si>
    <t>SUTA Payable</t>
  </si>
  <si>
    <t>FUTA Payable</t>
  </si>
  <si>
    <t>Owners' Equity</t>
  </si>
  <si>
    <t>Sales Returns and Allowances</t>
  </si>
  <si>
    <t>Sales Discounts</t>
  </si>
  <si>
    <t>Purchases Returns and Allowances</t>
  </si>
  <si>
    <t>Purchases Discounts</t>
  </si>
  <si>
    <t>Salaries Expense</t>
  </si>
  <si>
    <t>Payroll Tax Expense</t>
  </si>
  <si>
    <t>Rent Expense</t>
  </si>
  <si>
    <t>Miscellaneous Expense</t>
  </si>
  <si>
    <t>StartDate</t>
  </si>
  <si>
    <t>EndDate</t>
  </si>
  <si>
    <t>Year</t>
  </si>
  <si>
    <t>Month</t>
  </si>
  <si>
    <t>Day</t>
  </si>
  <si>
    <t>CompnayName</t>
  </si>
  <si>
    <t>Auto Supply</t>
  </si>
  <si>
    <t>OwnersNameL</t>
  </si>
  <si>
    <t>Hammonds</t>
  </si>
  <si>
    <t>OwnersNameF</t>
  </si>
  <si>
    <t>Jay</t>
  </si>
  <si>
    <t>OwnersNameFull</t>
  </si>
  <si>
    <t>CompnayNameFull</t>
  </si>
  <si>
    <t>ItemNames</t>
  </si>
  <si>
    <t>Bal.</t>
  </si>
  <si>
    <t>Adj.</t>
  </si>
  <si>
    <t>Clo.</t>
  </si>
  <si>
    <t>Rev.</t>
  </si>
  <si>
    <t>JournalNo</t>
  </si>
  <si>
    <t>S73</t>
  </si>
  <si>
    <t>PJ56</t>
  </si>
  <si>
    <t>CR38</t>
  </si>
  <si>
    <t>CP45</t>
  </si>
  <si>
    <t>GL100</t>
  </si>
  <si>
    <t>Customers</t>
  </si>
  <si>
    <t>Suppliers</t>
  </si>
  <si>
    <t>Bryan Supply</t>
  </si>
  <si>
    <t>Crosby Products</t>
  </si>
  <si>
    <t>English and Cole</t>
  </si>
  <si>
    <t>Duncan Office Supply</t>
  </si>
  <si>
    <t>L. Parker</t>
  </si>
  <si>
    <t>Franklin and Son</t>
  </si>
  <si>
    <t>Peterson, Inc.</t>
  </si>
  <si>
    <t>Vaughn and Company</t>
  </si>
  <si>
    <t>Vessey Appliance</t>
  </si>
  <si>
    <t>Sales Journal</t>
  </si>
  <si>
    <t>Page:</t>
  </si>
  <si>
    <t>Inv.
No</t>
  </si>
  <si>
    <t>Customer's Name</t>
  </si>
  <si>
    <t>P.R.</t>
  </si>
  <si>
    <t>A/R (DR)
Sales (CR)</t>
  </si>
  <si>
    <t>Prove DR = CR</t>
  </si>
  <si>
    <t>Purchase Journal</t>
  </si>
  <si>
    <t>Supplier's Name</t>
  </si>
  <si>
    <t>Inv.
No.</t>
  </si>
  <si>
    <t>Inv.
Date</t>
  </si>
  <si>
    <t>Terms</t>
  </si>
  <si>
    <t>%
Disc.</t>
  </si>
  <si>
    <t>A/P
(CR)</t>
  </si>
  <si>
    <t>Freight In
(DR)</t>
  </si>
  <si>
    <t>Purchases
(DR)</t>
  </si>
  <si>
    <t>Cash Receipts Journal</t>
  </si>
  <si>
    <t>Account Credited</t>
  </si>
  <si>
    <t>Post. Ref.</t>
  </si>
  <si>
    <t>Other Accounts (CR)</t>
  </si>
  <si>
    <t>A/R (CR)</t>
  </si>
  <si>
    <t>Sales (CR)</t>
  </si>
  <si>
    <t>Sales Discounts (DR)</t>
  </si>
  <si>
    <t>Cash (DR)</t>
  </si>
  <si>
    <t>Cash Payments Journal</t>
  </si>
  <si>
    <t>CK. NO.</t>
  </si>
  <si>
    <t>Account Debited</t>
  </si>
  <si>
    <t>Other Accounts (DR)</t>
  </si>
  <si>
    <t>A/P (DR)</t>
  </si>
  <si>
    <t>Purchase Discounts (CR)</t>
  </si>
  <si>
    <t>Cash (CR)</t>
  </si>
  <si>
    <t>General Journal</t>
  </si>
  <si>
    <t>Account:</t>
  </si>
  <si>
    <t>Acc No.:</t>
  </si>
  <si>
    <t>ITEM</t>
  </si>
  <si>
    <t>Balance</t>
  </si>
  <si>
    <t>ü</t>
  </si>
  <si>
    <t>Name:</t>
  </si>
  <si>
    <t>Address:</t>
  </si>
  <si>
    <t>Account Name</t>
  </si>
  <si>
    <t>DropDownList</t>
  </si>
  <si>
    <t>J. Hammonds, Capital</t>
  </si>
  <si>
    <t>A691</t>
  </si>
  <si>
    <t>2/10,n/30</t>
  </si>
  <si>
    <t>P.R. (subsidiaries only)</t>
  </si>
  <si>
    <t>Accounts Payable/Duncan Office Supply</t>
  </si>
  <si>
    <t>To record supplies bought on account from Duncan Office Supply, Inv.1906B, Net 30</t>
  </si>
  <si>
    <t>Accounts Receivable/L.Parker</t>
  </si>
  <si>
    <t>Issued credit memo # 43 to L.Parker for merch. Returned</t>
  </si>
  <si>
    <t xml:space="preserve"> ------------------------------</t>
  </si>
  <si>
    <t xml:space="preserve"> -----</t>
  </si>
  <si>
    <t xml:space="preserve"> ----</t>
  </si>
  <si>
    <t>7281D</t>
  </si>
  <si>
    <t>2/10,n/60</t>
  </si>
  <si>
    <t>Received Credit Memo #163  from Crosby Products for merch. We returned</t>
  </si>
  <si>
    <t>Accounts Payable/Crosby Products</t>
  </si>
  <si>
    <t>Record Payroll from Payroll Register</t>
  </si>
  <si>
    <t>Record Payroll Tax Expense</t>
  </si>
  <si>
    <t>J. Hammonds, Drawing</t>
  </si>
  <si>
    <t>PR ==&gt;</t>
  </si>
  <si>
    <t>XXXXXXX</t>
  </si>
  <si>
    <t>XXXXXX</t>
  </si>
  <si>
    <t>Schedule of Accounts Receivable</t>
  </si>
  <si>
    <t>Schedule of Accounts Payable</t>
  </si>
  <si>
    <t>Ledger AR</t>
  </si>
  <si>
    <t>Ledger AP</t>
  </si>
  <si>
    <t>Trial Balance</t>
  </si>
  <si>
    <t>Check #</t>
  </si>
  <si>
    <t>Amount1</t>
  </si>
  <si>
    <t>Amount2</t>
  </si>
  <si>
    <t>Amount3</t>
  </si>
  <si>
    <t>Supplier</t>
  </si>
  <si>
    <t>Account</t>
  </si>
  <si>
    <t>Invoice Date</t>
  </si>
  <si>
    <t>Assumptions</t>
  </si>
  <si>
    <t>Start Date for Transactions</t>
  </si>
  <si>
    <t>Start Check #</t>
  </si>
  <si>
    <t>2/10,N/30</t>
  </si>
  <si>
    <t>Start Inv. #</t>
  </si>
  <si>
    <t>C1272</t>
  </si>
  <si>
    <t>1906B</t>
  </si>
  <si>
    <t>Net 30</t>
  </si>
  <si>
    <t>2/10,N/60</t>
  </si>
  <si>
    <t>The Shopper</t>
  </si>
  <si>
    <t>Ball Fast Freight</t>
  </si>
  <si>
    <t>M. Dole</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</si>
</sst>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
    <numFmt numFmtId="167" formatCode="&quot;$&quot;#,##0.00;[Red]&quot;$&quot;#,##0.00"/>
    <numFmt numFmtId="168" formatCode="&quot;$&quot;#,##0.0000_);[Red]\(&quot;$&quot;#,##0.0000\)"/>
    <numFmt numFmtId="169" formatCode="&quot;$&quot;#,##0.000_);[Red]\(&quot;$&quot;#,##0.000\)"/>
    <numFmt numFmtId="170" formatCode="0.000"/>
    <numFmt numFmtId="171" formatCode="0.0000"/>
    <numFmt numFmtId="172" formatCode="0.0"/>
    <numFmt numFmtId="173" formatCode="&quot;$&quot;#,##0.0_);[Red]\(&quot;$&quot;#,##0.0\)"/>
    <numFmt numFmtId="174" formatCode="[$-409]mmmm\ d\,\ yyyy;@"/>
    <numFmt numFmtId="175" formatCode="_(&quot;$&quot;_##,##0_);[Red]\(&quot;$&quot;_##,##0\);_(&quot;$&quot;_#?&quot;—&quot;??_);_(@_)"/>
    <numFmt numFmtId="176" formatCode="_(_$##,##0_);[Red]\(_$##,##0\);_(_$_#?&quot;—&quot;??_);_(@_)"/>
    <numFmt numFmtId="177" formatCode="_(&quot;$&quot;##,##0_);[Red]\(&quot;$&quot;##,##0\);_(&quot;$&quot;_#?&quot;—&quot;??_);_(@_)"/>
    <numFmt numFmtId="178" formatCode="_(_$_##,##0_);[Red]\(_$_##,##0\);_(_$_#?&quot;—&quot;??_);_(@_)"/>
    <numFmt numFmtId="179" formatCode="_(_$_#_#_,##0_);[Red]\(_$_#_#_,##0\);_(_$_#?&quot;—&quot;??_);_(@_)"/>
    <numFmt numFmtId="180" formatCode="_(##,##0_);[Red]\(##,##0\);_(_#?&quot;—&quot;??_);_(@_)"/>
    <numFmt numFmtId="181" formatCode="_(_##,##0_);[Red]\(_##,##0\);_(_#?&quot;—&quot;??_);_(@_)"/>
    <numFmt numFmtId="182" formatCode="_(_#_#_,##0_);[Red]\(_#_#_,##0\);_(_#?&quot;—&quot;??_);_(@_)"/>
    <numFmt numFmtId="183" formatCode="_(&quot;$&quot;_##,##0.00_);[Red]\(&quot;$&quot;_##,##0.00\);_(&quot;$&quot;_#?&quot;—&quot;??_);_(@_)"/>
    <numFmt numFmtId="184" formatCode="_(_$##,##0.00_);[Red]\(_$##,##0.00\);_(&quot;$&quot;_#?&quot;—&quot;??_);_(@_)"/>
    <numFmt numFmtId="185" formatCode="_(_$_##,##0.00_);[Red]\(_$_##,##0.00\);_(&quot;$&quot;_#?&quot;—&quot;??_);_(@_)"/>
    <numFmt numFmtId="186" formatCode="_(_$_#_#_,##0.00_);[Red]\(_$_#_#_,##0.00\);_(_$_#?&quot;—&quot;??_);_(@_)"/>
    <numFmt numFmtId="187" formatCode="_(&quot;$&quot;_#_#_,##0.00_);[Red]\(&quot;$&quot;_#_#_,##0.00\);_(&quot;$&quot;_#?&quot;—&quot;??_);_(@_)"/>
    <numFmt numFmtId="188" formatCode="_(&quot;$&quot;##,##0.00_);[Red]\(&quot;$&quot;##,##0.00\);_(&quot;$&quot;_#?&quot;—&quot;??_);_(@_)"/>
    <numFmt numFmtId="189" formatCode="_(&quot;$&quot;_#_##,##0.00_);[Red]\(_$_##,##0.00\);_(&quot;$&quot;_#?&quot;—&quot;??_);_(@_)"/>
    <numFmt numFmtId="190" formatCode="_(&quot;$&quot;_#_#_,_##0.00_);[Red]\(&quot;$&quot;_#_#_,_##0.00\);_(&quot;$&quot;_#?&quot;—&quot;??_);_(@_)"/>
    <numFmt numFmtId="191" formatCode="_(_$_##,000.00_);[Red]\(_$_##,##0.00\);_(_$_#?&quot;—&quot;??_);_(@_)"/>
    <numFmt numFmtId="192" formatCode="_(_$_#_#_#_,_#_#0.00_);[Red]\(_$_#_#_,_#_#0.00\);_(_$_#?&quot;—&quot;??_);_(@_)"/>
    <numFmt numFmtId="193" formatCode="_(#,##0_);[Red]\(#,##0\);_(?&quot;—&quot;??_);_(@_)"/>
    <numFmt numFmtId="194" formatCode="_(_#_,##0_);[Red]\(_#_,##0\);_(?&quot;—&quot;??_);_(@_)"/>
    <numFmt numFmtId="195" formatCode="_(_$_#_#_,_##0.00_);[Red]\(_$_#_#_,_##0.00\);_(_$_#?&quot;—&quot;??_);_(@_)"/>
    <numFmt numFmtId="196" formatCode="&quot;Yes&quot;;&quot;Yes&quot;;&quot;No&quot;"/>
    <numFmt numFmtId="197" formatCode="&quot;True&quot;;&quot;True&quot;;&quot;False&quot;"/>
    <numFmt numFmtId="198" formatCode="&quot;On&quot;;&quot;On&quot;;&quot;Off&quot;"/>
    <numFmt numFmtId="199" formatCode="[$€-2]\ #,##0.00_);[Red]\([$€-2]\ #,##0.00\)"/>
    <numFmt numFmtId="200" formatCode="&quot;$&quot;#,##0"/>
    <numFmt numFmtId="201" formatCode="[$-409]dddd\,\ mmmm\ dd\,\ yyyy"/>
    <numFmt numFmtId="202" formatCode="[$-409]d\-mmm;@"/>
    <numFmt numFmtId="203" formatCode="#,##0.0"/>
    <numFmt numFmtId="204" formatCode="_(* #,##0.000_);_(* \(#,##0.000\);_(* &quot;-&quot;??_);_(@_)"/>
    <numFmt numFmtId="205" formatCode="_(* #,##0.0000_);_(* \(#,##0.0000\);_(* &quot;-&quot;??_);_(@_)"/>
    <numFmt numFmtId="206" formatCode="_(* #,##0.0_);_(* \(#,##0.0\);_(* &quot;-&quot;??_);_(@_)"/>
    <numFmt numFmtId="207" formatCode="_(* #,##0_);_(* \(#,##0\);_(* &quot;-&quot;??_);_(@_)"/>
    <numFmt numFmtId="208" formatCode="_(&quot;$&quot;* #,##0.0_);_(&quot;$&quot;* \(#,##0.0\);_(&quot;$&quot;* &quot;-&quot;??_);_(@_)"/>
    <numFmt numFmtId="209" formatCode="_(&quot;$&quot;* #,##0_);_(&quot;$&quot;* \(#,##0\);_(&quot;$&quot;* &quot;-&quot;??_);_(@_)"/>
  </numFmts>
  <fonts count="17">
    <font>
      <sz val="10"/>
      <name val="Arial"/>
      <family val="0"/>
    </font>
    <font>
      <sz val="8"/>
      <name val="Arial"/>
      <family val="0"/>
    </font>
    <font>
      <b/>
      <sz val="10"/>
      <color indexed="9"/>
      <name val="Arial"/>
      <family val="2"/>
    </font>
    <font>
      <b/>
      <sz val="10"/>
      <name val="Arial"/>
      <family val="2"/>
    </font>
    <font>
      <u val="single"/>
      <sz val="10"/>
      <color indexed="36"/>
      <name val="Arial"/>
      <family val="0"/>
    </font>
    <font>
      <u val="single"/>
      <sz val="10"/>
      <color indexed="12"/>
      <name val="Arial"/>
      <family val="0"/>
    </font>
    <font>
      <b/>
      <sz val="12"/>
      <name val="Arial"/>
      <family val="2"/>
    </font>
    <font>
      <sz val="10"/>
      <color indexed="58"/>
      <name val="Arial"/>
      <family val="2"/>
    </font>
    <font>
      <i/>
      <sz val="10"/>
      <name val="Arial"/>
      <family val="2"/>
    </font>
    <font>
      <b/>
      <sz val="10"/>
      <color indexed="10"/>
      <name val="Arial"/>
      <family val="2"/>
    </font>
    <font>
      <b/>
      <sz val="18"/>
      <name val="Arial"/>
      <family val="2"/>
    </font>
    <font>
      <b/>
      <i/>
      <sz val="14"/>
      <name val="Arial"/>
      <family val="2"/>
    </font>
    <font>
      <sz val="10"/>
      <color indexed="8"/>
      <name val="Arial"/>
      <family val="2"/>
    </font>
    <font>
      <b/>
      <sz val="12"/>
      <color indexed="9"/>
      <name val="Arial"/>
      <family val="2"/>
    </font>
    <font>
      <sz val="10"/>
      <name val="Wingdings"/>
      <family val="0"/>
    </font>
    <font>
      <u val="single"/>
      <sz val="10"/>
      <name val="Arial"/>
      <family val="0"/>
    </font>
    <font>
      <sz val="8"/>
      <name val="Tahoma"/>
      <family val="2"/>
    </font>
  </fonts>
  <fills count="17">
    <fill>
      <patternFill/>
    </fill>
    <fill>
      <patternFill patternType="gray125"/>
    </fill>
    <fill>
      <patternFill patternType="solid">
        <fgColor indexed="12"/>
        <bgColor indexed="64"/>
      </patternFill>
    </fill>
    <fill>
      <patternFill patternType="solid">
        <fgColor indexed="10"/>
        <bgColor indexed="64"/>
      </patternFill>
    </fill>
    <fill>
      <patternFill patternType="solid">
        <fgColor indexed="15"/>
        <bgColor indexed="64"/>
      </patternFill>
    </fill>
    <fill>
      <patternFill patternType="solid">
        <fgColor indexed="58"/>
        <bgColor indexed="64"/>
      </patternFill>
    </fill>
    <fill>
      <patternFill patternType="solid">
        <fgColor indexed="9"/>
        <bgColor indexed="64"/>
      </patternFill>
    </fill>
    <fill>
      <patternFill patternType="solid">
        <fgColor indexed="26"/>
        <bgColor indexed="64"/>
      </patternFill>
    </fill>
    <fill>
      <patternFill patternType="solid">
        <fgColor indexed="13"/>
        <bgColor indexed="64"/>
      </patternFill>
    </fill>
    <fill>
      <patternFill patternType="solid">
        <fgColor indexed="8"/>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50"/>
        <bgColor indexed="64"/>
      </patternFill>
    </fill>
    <fill>
      <patternFill patternType="solid">
        <fgColor indexed="52"/>
        <bgColor indexed="64"/>
      </patternFill>
    </fill>
    <fill>
      <patternFill patternType="mediumGray">
        <fgColor indexed="9"/>
        <bgColor indexed="26"/>
      </patternFill>
    </fill>
    <fill>
      <patternFill patternType="solid">
        <fgColor indexed="18"/>
        <bgColor indexed="64"/>
      </patternFill>
    </fill>
  </fills>
  <borders count="70">
    <border>
      <left/>
      <right/>
      <top/>
      <bottom/>
      <diagonal/>
    </border>
    <border>
      <left style="thin"/>
      <right style="thin"/>
      <top style="thin"/>
      <bottom style="thin"/>
    </border>
    <border>
      <left>
        <color indexed="63"/>
      </left>
      <right>
        <color indexed="63"/>
      </right>
      <top>
        <color indexed="63"/>
      </top>
      <bottom style="thin"/>
    </border>
    <border>
      <left>
        <color indexed="63"/>
      </left>
      <right style="thick"/>
      <top style="thick"/>
      <bottom>
        <color indexed="63"/>
      </bottom>
    </border>
    <border>
      <left>
        <color indexed="63"/>
      </left>
      <right>
        <color indexed="63"/>
      </right>
      <top style="thick"/>
      <bottom>
        <color indexed="63"/>
      </bottom>
    </border>
    <border>
      <left>
        <color indexed="63"/>
      </left>
      <right style="thick"/>
      <top>
        <color indexed="63"/>
      </top>
      <bottom>
        <color indexed="63"/>
      </bottom>
    </border>
    <border>
      <left style="thick">
        <color indexed="54"/>
      </left>
      <right>
        <color indexed="63"/>
      </right>
      <top style="thick">
        <color indexed="54"/>
      </top>
      <bottom>
        <color indexed="63"/>
      </bottom>
    </border>
    <border>
      <left>
        <color indexed="63"/>
      </left>
      <right>
        <color indexed="63"/>
      </right>
      <top style="thick">
        <color indexed="54"/>
      </top>
      <bottom style="hair">
        <color indexed="37"/>
      </bottom>
    </border>
    <border>
      <left>
        <color indexed="63"/>
      </left>
      <right>
        <color indexed="63"/>
      </right>
      <top>
        <color indexed="63"/>
      </top>
      <bottom style="hair">
        <color indexed="37"/>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hair"/>
      <top style="medium"/>
      <bottom>
        <color indexed="63"/>
      </bottom>
    </border>
    <border>
      <left style="medium"/>
      <right style="hair"/>
      <top style="medium"/>
      <bottom>
        <color indexed="63"/>
      </bottom>
    </border>
    <border>
      <left>
        <color indexed="63"/>
      </left>
      <right style="hair"/>
      <top>
        <color indexed="63"/>
      </top>
      <bottom>
        <color indexed="63"/>
      </bottom>
    </border>
    <border>
      <left>
        <color indexed="63"/>
      </left>
      <right style="hair"/>
      <top>
        <color indexed="63"/>
      </top>
      <bottom style="hair">
        <color indexed="22"/>
      </bottom>
    </border>
    <border>
      <left>
        <color indexed="63"/>
      </left>
      <right>
        <color indexed="63"/>
      </right>
      <top>
        <color indexed="63"/>
      </top>
      <bottom style="hair">
        <color indexed="22"/>
      </bottom>
    </border>
    <border>
      <left style="hair"/>
      <right>
        <color indexed="63"/>
      </right>
      <top style="hair"/>
      <bottom style="hair"/>
    </border>
    <border>
      <left style="hair"/>
      <right style="hair"/>
      <top style="hair"/>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ck">
        <color indexed="54"/>
      </top>
      <bottom>
        <color indexed="63"/>
      </bottom>
    </border>
    <border>
      <left style="thin"/>
      <right style="thin"/>
      <top style="thin"/>
      <bottom style="medium"/>
    </border>
    <border>
      <left style="thin"/>
      <right style="thin"/>
      <top style="medium"/>
      <bottom style="medium"/>
    </border>
    <border>
      <left style="thin"/>
      <right style="thin"/>
      <top>
        <color indexed="63"/>
      </top>
      <bottom style="double"/>
    </border>
    <border>
      <left>
        <color indexed="63"/>
      </left>
      <right>
        <color indexed="63"/>
      </right>
      <top style="thin"/>
      <bottom style="double"/>
    </border>
    <border>
      <left style="thin"/>
      <right style="thin"/>
      <top style="thin"/>
      <bottom>
        <color indexed="63"/>
      </bottom>
    </border>
    <border>
      <left style="thin"/>
      <right style="double"/>
      <top style="double"/>
      <bottom style="thin"/>
    </border>
    <border>
      <left style="double"/>
      <right style="double"/>
      <top style="double"/>
      <bottom style="thin"/>
    </border>
    <border>
      <left style="double"/>
      <right style="thin"/>
      <top style="double"/>
      <bottom style="thin"/>
    </border>
    <border>
      <left style="thin"/>
      <right style="double"/>
      <top style="thin"/>
      <bottom style="thin"/>
    </border>
    <border>
      <left style="double"/>
      <right style="double"/>
      <top style="thin"/>
      <bottom style="thin"/>
    </border>
    <border>
      <left style="double"/>
      <right style="thin"/>
      <top style="thin"/>
      <bottom style="thin"/>
    </border>
    <border>
      <left style="thin"/>
      <right style="thin"/>
      <top style="medium"/>
      <bottom style="double"/>
    </border>
    <border>
      <left style="thin"/>
      <right style="double"/>
      <top style="double"/>
      <bottom style="double"/>
    </border>
    <border>
      <left style="double"/>
      <right style="double"/>
      <top style="double"/>
      <bottom style="double"/>
    </border>
    <border>
      <left style="double"/>
      <right style="thin"/>
      <top style="double"/>
      <bottom style="double"/>
    </border>
    <border>
      <left style="thin"/>
      <right style="double"/>
      <top>
        <color indexed="63"/>
      </top>
      <bottom style="thin"/>
    </border>
    <border>
      <left style="double"/>
      <right style="double"/>
      <top>
        <color indexed="63"/>
      </top>
      <bottom style="thin"/>
    </border>
    <border>
      <left style="double"/>
      <right style="thin"/>
      <top>
        <color indexed="63"/>
      </top>
      <bottom style="thin"/>
    </border>
    <border>
      <left>
        <color indexed="63"/>
      </left>
      <right>
        <color indexed="63"/>
      </right>
      <top>
        <color indexed="63"/>
      </top>
      <bottom style="double"/>
    </border>
    <border>
      <left style="thin"/>
      <right style="double"/>
      <top style="thin"/>
      <bottom>
        <color indexed="63"/>
      </bottom>
    </border>
    <border>
      <left style="double"/>
      <right style="double"/>
      <top style="thin"/>
      <bottom>
        <color indexed="63"/>
      </bottom>
    </border>
    <border>
      <left style="double"/>
      <right style="thin"/>
      <top style="thin"/>
      <bottom>
        <color indexed="63"/>
      </bottom>
    </border>
    <border>
      <left style="thin"/>
      <right style="double"/>
      <top style="thick"/>
      <bottom style="double"/>
    </border>
    <border>
      <left style="double"/>
      <right style="double"/>
      <top style="thick"/>
      <bottom style="double"/>
    </border>
    <border>
      <left style="double"/>
      <right style="thin"/>
      <top style="thick"/>
      <bottom style="double"/>
    </border>
    <border>
      <left style="double"/>
      <right style="double"/>
      <top>
        <color indexed="63"/>
      </top>
      <bottom>
        <color indexed="63"/>
      </bottom>
    </border>
    <border>
      <left style="thin"/>
      <right style="thin"/>
      <top>
        <color indexed="63"/>
      </top>
      <bottom>
        <color indexed="63"/>
      </bottom>
    </border>
    <border>
      <left style="hair"/>
      <right>
        <color indexed="63"/>
      </right>
      <top>
        <color indexed="63"/>
      </top>
      <bottom style="hair"/>
    </border>
    <border>
      <left>
        <color indexed="63"/>
      </left>
      <right>
        <color indexed="63"/>
      </right>
      <top>
        <color indexed="63"/>
      </top>
      <bottom style="thick"/>
    </border>
    <border>
      <left style="hair"/>
      <right>
        <color indexed="63"/>
      </right>
      <top>
        <color indexed="63"/>
      </top>
      <bottom>
        <color indexed="63"/>
      </bottom>
    </border>
    <border>
      <left>
        <color indexed="63"/>
      </left>
      <right>
        <color indexed="63"/>
      </right>
      <top style="hair">
        <color indexed="22"/>
      </top>
      <bottom style="hair">
        <color indexed="22"/>
      </bottom>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style="double"/>
      <top style="double"/>
      <bottom>
        <color indexed="63"/>
      </botto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style="thin"/>
    </border>
    <border>
      <left>
        <color indexed="63"/>
      </left>
      <right style="double"/>
      <top>
        <color indexed="63"/>
      </top>
      <bottom style="thin"/>
    </border>
    <border>
      <left style="double"/>
      <right style="double"/>
      <top style="double"/>
      <bottom>
        <color indexed="63"/>
      </bottom>
    </border>
    <border>
      <left style="double"/>
      <right>
        <color indexed="63"/>
      </right>
      <top style="double"/>
      <bottom style="double"/>
    </border>
    <border>
      <left>
        <color indexed="63"/>
      </left>
      <right style="double"/>
      <top style="double"/>
      <bottom style="double"/>
    </border>
    <border>
      <left style="double"/>
      <right style="thin"/>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70">
    <xf numFmtId="0" fontId="0" fillId="0" borderId="0" xfId="0" applyAlignment="1">
      <alignment/>
    </xf>
    <xf numFmtId="0" fontId="2" fillId="2" borderId="1" xfId="0" applyFont="1" applyFill="1" applyBorder="1" applyAlignment="1">
      <alignment wrapText="1"/>
    </xf>
    <xf numFmtId="0" fontId="2" fillId="2" borderId="1" xfId="0" applyFont="1" applyFill="1" applyBorder="1" applyAlignment="1">
      <alignment/>
    </xf>
    <xf numFmtId="0" fontId="2" fillId="3" borderId="1" xfId="0" applyFont="1" applyFill="1" applyBorder="1" applyAlignment="1">
      <alignment wrapText="1"/>
    </xf>
    <xf numFmtId="0" fontId="3" fillId="0" borderId="0" xfId="0" applyFont="1" applyAlignment="1">
      <alignment/>
    </xf>
    <xf numFmtId="165" fontId="3" fillId="0" borderId="1" xfId="17" applyNumberFormat="1" applyFont="1" applyBorder="1" applyAlignment="1">
      <alignment horizontal="left"/>
    </xf>
    <xf numFmtId="9" fontId="3" fillId="0" borderId="1" xfId="0" applyNumberFormat="1" applyFont="1" applyBorder="1" applyAlignment="1">
      <alignment horizontal="left"/>
    </xf>
    <xf numFmtId="0" fontId="3" fillId="0" borderId="1" xfId="0" applyFont="1" applyBorder="1" applyAlignment="1">
      <alignment horizontal="left"/>
    </xf>
    <xf numFmtId="165" fontId="3" fillId="0" borderId="1" xfId="0" applyNumberFormat="1" applyFont="1" applyBorder="1" applyAlignment="1">
      <alignment horizontal="left"/>
    </xf>
    <xf numFmtId="10" fontId="3" fillId="0" borderId="1" xfId="21" applyNumberFormat="1" applyFont="1" applyBorder="1" applyAlignment="1">
      <alignment horizontal="left"/>
    </xf>
    <xf numFmtId="0" fontId="3" fillId="4" borderId="1" xfId="0" applyFont="1" applyFill="1" applyBorder="1" applyAlignment="1">
      <alignment wrapText="1"/>
    </xf>
    <xf numFmtId="0" fontId="3" fillId="0" borderId="0" xfId="0" applyFont="1" applyAlignment="1">
      <alignment wrapText="1"/>
    </xf>
    <xf numFmtId="8" fontId="0" fillId="0" borderId="0" xfId="0" applyNumberFormat="1" applyFont="1" applyAlignment="1">
      <alignment/>
    </xf>
    <xf numFmtId="0" fontId="0" fillId="0" borderId="0" xfId="0" applyFont="1" applyAlignment="1">
      <alignment/>
    </xf>
    <xf numFmtId="0" fontId="3" fillId="0" borderId="1" xfId="0" applyFont="1" applyBorder="1" applyAlignment="1">
      <alignment/>
    </xf>
    <xf numFmtId="0" fontId="0" fillId="0" borderId="2" xfId="0" applyFont="1" applyBorder="1" applyAlignment="1">
      <alignment wrapText="1"/>
    </xf>
    <xf numFmtId="171" fontId="0" fillId="0" borderId="1" xfId="0" applyNumberFormat="1" applyFont="1" applyBorder="1" applyAlignment="1">
      <alignment/>
    </xf>
    <xf numFmtId="0" fontId="0" fillId="0" borderId="1" xfId="0" applyFont="1" applyBorder="1" applyAlignment="1">
      <alignment/>
    </xf>
    <xf numFmtId="0" fontId="0" fillId="0" borderId="1" xfId="0" applyNumberFormat="1" applyFont="1" applyBorder="1" applyAlignment="1">
      <alignment/>
    </xf>
    <xf numFmtId="39" fontId="0" fillId="0" borderId="1" xfId="0" applyNumberFormat="1" applyFont="1" applyBorder="1" applyAlignment="1">
      <alignment/>
    </xf>
    <xf numFmtId="0" fontId="1" fillId="0" borderId="1" xfId="0" applyFont="1" applyBorder="1" applyAlignment="1">
      <alignment horizontal="left" indent="3"/>
    </xf>
    <xf numFmtId="0" fontId="6" fillId="0" borderId="0" xfId="0" applyFont="1" applyAlignment="1">
      <alignment/>
    </xf>
    <xf numFmtId="0" fontId="0" fillId="0" borderId="3" xfId="0" applyFont="1" applyBorder="1" applyAlignment="1">
      <alignment horizontal="center"/>
    </xf>
    <xf numFmtId="0" fontId="0" fillId="0" borderId="4" xfId="0" applyFont="1" applyBorder="1" applyAlignment="1">
      <alignment horizontal="center"/>
    </xf>
    <xf numFmtId="0" fontId="0" fillId="0" borderId="5" xfId="0" applyFont="1" applyBorder="1" applyAlignment="1">
      <alignment horizontal="center"/>
    </xf>
    <xf numFmtId="0" fontId="0" fillId="0" borderId="0" xfId="0" applyFont="1" applyAlignment="1">
      <alignment horizontal="center"/>
    </xf>
    <xf numFmtId="0" fontId="0" fillId="0" borderId="5" xfId="0" applyFont="1" applyBorder="1" applyAlignment="1">
      <alignment/>
    </xf>
    <xf numFmtId="0" fontId="7" fillId="5" borderId="0" xfId="0" applyFont="1" applyFill="1" applyAlignment="1">
      <alignment/>
    </xf>
    <xf numFmtId="0" fontId="0" fillId="6" borderId="0" xfId="0" applyFont="1" applyFill="1" applyBorder="1" applyAlignment="1">
      <alignment/>
    </xf>
    <xf numFmtId="0" fontId="0" fillId="5" borderId="0" xfId="0" applyFont="1" applyFill="1" applyAlignment="1">
      <alignment/>
    </xf>
    <xf numFmtId="0" fontId="3" fillId="6" borderId="0" xfId="0" applyFont="1" applyFill="1" applyBorder="1" applyAlignment="1">
      <alignment/>
    </xf>
    <xf numFmtId="0" fontId="3" fillId="6" borderId="0" xfId="0" applyFont="1" applyFill="1" applyBorder="1" applyAlignment="1">
      <alignment horizontal="right"/>
    </xf>
    <xf numFmtId="0" fontId="9" fillId="6" borderId="0" xfId="0" applyNumberFormat="1" applyFont="1" applyFill="1" applyBorder="1" applyAlignment="1" applyProtection="1">
      <alignment/>
      <protection locked="0"/>
    </xf>
    <xf numFmtId="1" fontId="9" fillId="6" borderId="0" xfId="0" applyNumberFormat="1" applyFont="1" applyFill="1" applyBorder="1" applyAlignment="1">
      <alignment/>
    </xf>
    <xf numFmtId="0" fontId="10" fillId="6" borderId="6" xfId="0" applyFont="1" applyFill="1" applyBorder="1" applyAlignment="1">
      <alignment/>
    </xf>
    <xf numFmtId="0" fontId="0" fillId="6" borderId="7" xfId="0" applyFont="1" applyFill="1" applyBorder="1" applyAlignment="1">
      <alignment/>
    </xf>
    <xf numFmtId="0" fontId="0" fillId="6" borderId="8" xfId="0" applyFont="1" applyFill="1" applyBorder="1" applyAlignment="1">
      <alignment/>
    </xf>
    <xf numFmtId="0" fontId="11" fillId="6" borderId="0" xfId="0" applyFont="1" applyFill="1" applyBorder="1" applyAlignment="1">
      <alignment/>
    </xf>
    <xf numFmtId="0" fontId="3" fillId="6" borderId="9" xfId="0" applyFont="1" applyFill="1" applyBorder="1" applyAlignment="1">
      <alignment/>
    </xf>
    <xf numFmtId="0" fontId="0" fillId="6" borderId="10" xfId="0" applyFont="1" applyFill="1" applyBorder="1" applyAlignment="1">
      <alignment/>
    </xf>
    <xf numFmtId="0" fontId="0" fillId="6" borderId="11" xfId="0" applyFont="1" applyFill="1" applyBorder="1" applyAlignment="1">
      <alignment/>
    </xf>
    <xf numFmtId="0" fontId="0" fillId="6" borderId="12" xfId="0" applyFont="1" applyFill="1" applyBorder="1" applyAlignment="1">
      <alignment/>
    </xf>
    <xf numFmtId="0" fontId="0" fillId="6" borderId="13" xfId="0" applyFont="1" applyFill="1" applyBorder="1" applyAlignment="1" applyProtection="1">
      <alignment/>
      <protection/>
    </xf>
    <xf numFmtId="0" fontId="0" fillId="6" borderId="14" xfId="0" applyFont="1" applyFill="1" applyBorder="1" applyAlignment="1">
      <alignment/>
    </xf>
    <xf numFmtId="0" fontId="0" fillId="6" borderId="14" xfId="0" applyFont="1" applyFill="1" applyBorder="1" applyAlignment="1" applyProtection="1">
      <alignment/>
      <protection/>
    </xf>
    <xf numFmtId="14" fontId="0" fillId="6" borderId="15" xfId="0" applyNumberFormat="1" applyFont="1" applyFill="1" applyBorder="1" applyAlignment="1" applyProtection="1" quotePrefix="1">
      <alignment horizontal="left"/>
      <protection locked="0"/>
    </xf>
    <xf numFmtId="14" fontId="0" fillId="6" borderId="0" xfId="0" applyNumberFormat="1" applyFont="1" applyFill="1" applyBorder="1" applyAlignment="1" quotePrefix="1">
      <alignment horizontal="left"/>
    </xf>
    <xf numFmtId="49" fontId="0" fillId="6" borderId="15" xfId="0" applyNumberFormat="1" applyFont="1" applyFill="1" applyBorder="1" applyAlignment="1" applyProtection="1">
      <alignment horizontal="left"/>
      <protection locked="0"/>
    </xf>
    <xf numFmtId="49" fontId="0" fillId="6" borderId="0" xfId="0" applyNumberFormat="1" applyFont="1" applyFill="1" applyBorder="1" applyAlignment="1">
      <alignment/>
    </xf>
    <xf numFmtId="49" fontId="0" fillId="6" borderId="16" xfId="0" applyNumberFormat="1" applyFont="1" applyFill="1" applyBorder="1" applyAlignment="1" applyProtection="1">
      <alignment horizontal="left" wrapText="1"/>
      <protection locked="0"/>
    </xf>
    <xf numFmtId="0" fontId="0" fillId="6" borderId="0" xfId="0" applyFont="1" applyFill="1" applyBorder="1" applyAlignment="1">
      <alignment horizontal="right"/>
    </xf>
    <xf numFmtId="49" fontId="0" fillId="6" borderId="16" xfId="0" applyNumberFormat="1" applyFont="1" applyFill="1" applyBorder="1" applyAlignment="1" applyProtection="1">
      <alignment horizontal="left"/>
      <protection locked="0"/>
    </xf>
    <xf numFmtId="0" fontId="0" fillId="6" borderId="15" xfId="0" applyFont="1" applyFill="1" applyBorder="1" applyAlignment="1" applyProtection="1">
      <alignment horizontal="left"/>
      <protection locked="0"/>
    </xf>
    <xf numFmtId="0" fontId="0" fillId="0" borderId="0" xfId="0" applyFont="1" applyFill="1" applyAlignment="1" applyProtection="1">
      <alignment/>
      <protection locked="0"/>
    </xf>
    <xf numFmtId="0" fontId="3" fillId="6" borderId="17" xfId="0" applyFont="1" applyFill="1" applyBorder="1" applyAlignment="1">
      <alignment horizontal="center"/>
    </xf>
    <xf numFmtId="0" fontId="3" fillId="6" borderId="18" xfId="0" applyFont="1" applyFill="1" applyBorder="1" applyAlignment="1">
      <alignment horizontal="center"/>
    </xf>
    <xf numFmtId="0" fontId="0" fillId="6" borderId="0" xfId="0" applyNumberFormat="1" applyFont="1" applyFill="1" applyBorder="1" applyAlignment="1">
      <alignment/>
    </xf>
    <xf numFmtId="0" fontId="0" fillId="6" borderId="19" xfId="0" applyFont="1" applyFill="1" applyBorder="1" applyAlignment="1" applyProtection="1">
      <alignment horizontal="center"/>
      <protection locked="0"/>
    </xf>
    <xf numFmtId="44" fontId="0" fillId="6" borderId="19" xfId="17" applyFont="1" applyFill="1" applyBorder="1" applyAlignment="1" applyProtection="1">
      <alignment/>
      <protection locked="0"/>
    </xf>
    <xf numFmtId="44" fontId="0" fillId="7" borderId="19" xfId="17" applyFont="1" applyFill="1" applyBorder="1" applyAlignment="1">
      <alignment/>
    </xf>
    <xf numFmtId="0" fontId="0" fillId="6" borderId="20" xfId="0" applyFont="1" applyFill="1" applyBorder="1" applyAlignment="1" applyProtection="1">
      <alignment horizontal="center"/>
      <protection locked="0"/>
    </xf>
    <xf numFmtId="44" fontId="0" fillId="6" borderId="20" xfId="17" applyFont="1" applyFill="1" applyBorder="1" applyAlignment="1" applyProtection="1">
      <alignment/>
      <protection locked="0"/>
    </xf>
    <xf numFmtId="44" fontId="0" fillId="7" borderId="20" xfId="17" applyFont="1" applyFill="1" applyBorder="1" applyAlignment="1">
      <alignment/>
    </xf>
    <xf numFmtId="0" fontId="0" fillId="6" borderId="21" xfId="0" applyFont="1" applyFill="1" applyBorder="1" applyAlignment="1" applyProtection="1">
      <alignment horizontal="center"/>
      <protection locked="0"/>
    </xf>
    <xf numFmtId="49" fontId="0" fillId="6" borderId="22" xfId="0" applyNumberFormat="1" applyFont="1" applyFill="1" applyBorder="1" applyAlignment="1" applyProtection="1">
      <alignment horizontal="left"/>
      <protection locked="0"/>
    </xf>
    <xf numFmtId="49" fontId="0" fillId="6" borderId="23" xfId="0" applyNumberFormat="1" applyFont="1" applyFill="1" applyBorder="1" applyAlignment="1" applyProtection="1">
      <alignment horizontal="left"/>
      <protection locked="0"/>
    </xf>
    <xf numFmtId="44" fontId="0" fillId="6" borderId="21" xfId="17" applyFont="1" applyFill="1" applyBorder="1" applyAlignment="1" applyProtection="1">
      <alignment/>
      <protection locked="0"/>
    </xf>
    <xf numFmtId="44" fontId="0" fillId="7" borderId="21" xfId="17" applyFont="1" applyFill="1" applyBorder="1" applyAlignment="1">
      <alignment/>
    </xf>
    <xf numFmtId="0" fontId="0" fillId="6" borderId="0" xfId="0" applyFont="1" applyFill="1" applyBorder="1" applyAlignment="1" quotePrefix="1">
      <alignment horizontal="right"/>
    </xf>
    <xf numFmtId="44" fontId="12" fillId="7" borderId="18" xfId="17" applyFont="1" applyFill="1" applyBorder="1" applyAlignment="1">
      <alignment/>
    </xf>
    <xf numFmtId="44" fontId="12" fillId="0" borderId="18" xfId="17" applyFont="1" applyFill="1" applyBorder="1" applyAlignment="1" applyProtection="1">
      <alignment/>
      <protection locked="0"/>
    </xf>
    <xf numFmtId="0" fontId="0" fillId="6" borderId="10" xfId="0" applyFont="1" applyFill="1" applyBorder="1" applyAlignment="1" applyProtection="1">
      <alignment horizontal="left" indent="1"/>
      <protection locked="0"/>
    </xf>
    <xf numFmtId="9" fontId="3" fillId="6" borderId="0" xfId="0" applyNumberFormat="1" applyFont="1" applyFill="1" applyBorder="1" applyAlignment="1">
      <alignment/>
    </xf>
    <xf numFmtId="10" fontId="0" fillId="0" borderId="18" xfId="0" applyNumberFormat="1" applyFont="1" applyFill="1" applyBorder="1" applyAlignment="1" applyProtection="1" quotePrefix="1">
      <alignment horizontal="center"/>
      <protection locked="0"/>
    </xf>
    <xf numFmtId="44" fontId="12" fillId="7" borderId="18" xfId="17" applyFont="1" applyFill="1" applyBorder="1" applyAlignment="1" applyProtection="1">
      <alignment/>
      <protection/>
    </xf>
    <xf numFmtId="166" fontId="0" fillId="6" borderId="0" xfId="0" applyNumberFormat="1" applyFont="1" applyFill="1" applyBorder="1" applyAlignment="1">
      <alignment/>
    </xf>
    <xf numFmtId="0" fontId="0" fillId="6" borderId="14" xfId="0" applyFont="1" applyFill="1" applyBorder="1" applyAlignment="1" applyProtection="1">
      <alignment wrapText="1"/>
      <protection locked="0"/>
    </xf>
    <xf numFmtId="10" fontId="0" fillId="0" borderId="21" xfId="0" applyNumberFormat="1" applyFont="1" applyFill="1" applyBorder="1" applyAlignment="1" applyProtection="1" quotePrefix="1">
      <alignment horizontal="center"/>
      <protection locked="0"/>
    </xf>
    <xf numFmtId="0" fontId="0" fillId="6" borderId="0" xfId="0" applyFont="1" applyFill="1" applyBorder="1" applyAlignment="1" quotePrefix="1">
      <alignment/>
    </xf>
    <xf numFmtId="44" fontId="12" fillId="7" borderId="1" xfId="17" applyFont="1" applyFill="1" applyBorder="1" applyAlignment="1">
      <alignment/>
    </xf>
    <xf numFmtId="0" fontId="0" fillId="6" borderId="0" xfId="0" applyFont="1" applyFill="1" applyAlignment="1">
      <alignment/>
    </xf>
    <xf numFmtId="0" fontId="0" fillId="6" borderId="24" xfId="0" applyFont="1" applyFill="1" applyBorder="1" applyAlignment="1">
      <alignment/>
    </xf>
    <xf numFmtId="165" fontId="0" fillId="0" borderId="0" xfId="0" applyNumberFormat="1" applyFont="1" applyAlignment="1">
      <alignment/>
    </xf>
    <xf numFmtId="165" fontId="0" fillId="0" borderId="2" xfId="0" applyNumberFormat="1" applyFont="1" applyBorder="1" applyAlignment="1">
      <alignment/>
    </xf>
    <xf numFmtId="0" fontId="1" fillId="0" borderId="1" xfId="0" applyFont="1" applyBorder="1" applyAlignment="1">
      <alignment wrapText="1"/>
    </xf>
    <xf numFmtId="0" fontId="0" fillId="0" borderId="1" xfId="0" applyNumberFormat="1" applyFont="1" applyBorder="1" applyAlignment="1">
      <alignment horizontal="left"/>
    </xf>
    <xf numFmtId="0" fontId="0" fillId="0" borderId="1" xfId="0" applyFont="1" applyBorder="1" applyAlignment="1">
      <alignment horizontal="left" indent="2"/>
    </xf>
    <xf numFmtId="0" fontId="0" fillId="0" borderId="1" xfId="0" applyFont="1" applyBorder="1" applyAlignment="1">
      <alignment horizontal="left"/>
    </xf>
    <xf numFmtId="0" fontId="0" fillId="0" borderId="1" xfId="0" applyFont="1" applyBorder="1" applyAlignment="1">
      <alignment wrapText="1"/>
    </xf>
    <xf numFmtId="8" fontId="0" fillId="0" borderId="1" xfId="0" applyNumberFormat="1" applyFont="1" applyBorder="1" applyAlignment="1">
      <alignment/>
    </xf>
    <xf numFmtId="0" fontId="0" fillId="0" borderId="25" xfId="0" applyFont="1" applyBorder="1" applyAlignment="1">
      <alignment wrapText="1"/>
    </xf>
    <xf numFmtId="8" fontId="0" fillId="0" borderId="25" xfId="0" applyNumberFormat="1" applyFont="1" applyBorder="1" applyAlignment="1">
      <alignment/>
    </xf>
    <xf numFmtId="0" fontId="0" fillId="0" borderId="26" xfId="0" applyFont="1" applyBorder="1" applyAlignment="1">
      <alignment/>
    </xf>
    <xf numFmtId="8" fontId="0" fillId="0" borderId="26" xfId="0" applyNumberFormat="1" applyFont="1" applyBorder="1" applyAlignment="1">
      <alignment/>
    </xf>
    <xf numFmtId="0" fontId="0" fillId="0" borderId="26" xfId="0" applyFont="1" applyBorder="1" applyAlignment="1">
      <alignment wrapText="1"/>
    </xf>
    <xf numFmtId="0" fontId="0" fillId="0" borderId="27" xfId="0" applyFont="1" applyBorder="1" applyAlignment="1">
      <alignment wrapText="1"/>
    </xf>
    <xf numFmtId="8" fontId="0" fillId="0" borderId="27" xfId="0" applyNumberFormat="1" applyFont="1" applyBorder="1" applyAlignment="1">
      <alignment/>
    </xf>
    <xf numFmtId="0" fontId="0" fillId="0" borderId="1" xfId="0" applyFont="1" applyBorder="1" applyAlignment="1">
      <alignment horizontal="left" wrapText="1" indent="2"/>
    </xf>
    <xf numFmtId="2" fontId="1" fillId="8" borderId="0" xfId="21" applyNumberFormat="1" applyFont="1" applyFill="1" applyAlignment="1">
      <alignment/>
    </xf>
    <xf numFmtId="165" fontId="0" fillId="8" borderId="1" xfId="0" applyNumberFormat="1" applyFont="1" applyFill="1" applyBorder="1" applyAlignment="1">
      <alignment/>
    </xf>
    <xf numFmtId="39" fontId="0" fillId="8" borderId="1" xfId="0" applyNumberFormat="1" applyFont="1" applyFill="1" applyBorder="1" applyAlignment="1">
      <alignment/>
    </xf>
    <xf numFmtId="8" fontId="0" fillId="8" borderId="25" xfId="0" applyNumberFormat="1" applyFont="1" applyFill="1" applyBorder="1" applyAlignment="1">
      <alignment/>
    </xf>
    <xf numFmtId="8" fontId="0" fillId="8" borderId="26" xfId="0" applyNumberFormat="1" applyFont="1" applyFill="1" applyBorder="1" applyAlignment="1">
      <alignment/>
    </xf>
    <xf numFmtId="8" fontId="0" fillId="8" borderId="27" xfId="0" applyNumberFormat="1" applyFont="1" applyFill="1" applyBorder="1" applyAlignment="1">
      <alignment/>
    </xf>
    <xf numFmtId="39" fontId="0" fillId="0" borderId="1" xfId="0" applyNumberFormat="1" applyFont="1" applyFill="1" applyBorder="1" applyAlignment="1">
      <alignment/>
    </xf>
    <xf numFmtId="0" fontId="13" fillId="2" borderId="1" xfId="0" applyFont="1" applyFill="1" applyBorder="1" applyAlignment="1">
      <alignment horizontal="centerContinuous"/>
    </xf>
    <xf numFmtId="0" fontId="0" fillId="9" borderId="0" xfId="0" applyFont="1" applyFill="1" applyAlignment="1">
      <alignment/>
    </xf>
    <xf numFmtId="0" fontId="0" fillId="0" borderId="1" xfId="0" applyBorder="1" applyAlignment="1">
      <alignment/>
    </xf>
    <xf numFmtId="0" fontId="0" fillId="10" borderId="1" xfId="0" applyFill="1" applyBorder="1" applyAlignment="1">
      <alignment/>
    </xf>
    <xf numFmtId="43" fontId="0" fillId="10" borderId="1" xfId="0" applyNumberFormat="1" applyFill="1" applyBorder="1" applyAlignment="1">
      <alignment/>
    </xf>
    <xf numFmtId="43" fontId="0" fillId="0" borderId="1" xfId="0" applyNumberFormat="1" applyBorder="1" applyAlignment="1">
      <alignment/>
    </xf>
    <xf numFmtId="43" fontId="0" fillId="0" borderId="1" xfId="0" applyNumberFormat="1" applyFill="1" applyBorder="1" applyAlignment="1">
      <alignment/>
    </xf>
    <xf numFmtId="0" fontId="0" fillId="0" borderId="1" xfId="0" applyFill="1" applyBorder="1" applyAlignment="1">
      <alignment/>
    </xf>
    <xf numFmtId="43" fontId="0" fillId="0" borderId="0" xfId="0" applyNumberFormat="1" applyAlignment="1">
      <alignment/>
    </xf>
    <xf numFmtId="0" fontId="14" fillId="0" borderId="0" xfId="0" applyFont="1" applyAlignment="1">
      <alignment/>
    </xf>
    <xf numFmtId="43" fontId="0" fillId="0" borderId="28" xfId="0" applyNumberFormat="1" applyBorder="1" applyAlignment="1">
      <alignment/>
    </xf>
    <xf numFmtId="43" fontId="0" fillId="0" borderId="0" xfId="0" applyNumberFormat="1" applyBorder="1" applyAlignment="1">
      <alignment/>
    </xf>
    <xf numFmtId="14" fontId="0" fillId="10" borderId="1" xfId="0" applyNumberFormat="1" applyFill="1" applyBorder="1" applyAlignment="1">
      <alignment/>
    </xf>
    <xf numFmtId="14" fontId="0" fillId="0" borderId="1" xfId="0" applyNumberFormat="1" applyBorder="1" applyAlignment="1">
      <alignment/>
    </xf>
    <xf numFmtId="0" fontId="0" fillId="0" borderId="1" xfId="0" applyNumberFormat="1" applyBorder="1" applyAlignment="1">
      <alignment/>
    </xf>
    <xf numFmtId="0" fontId="0" fillId="11" borderId="1" xfId="0" applyFill="1" applyBorder="1" applyAlignment="1">
      <alignment/>
    </xf>
    <xf numFmtId="0" fontId="14" fillId="10" borderId="1" xfId="0" applyFont="1" applyFill="1" applyBorder="1" applyAlignment="1">
      <alignment/>
    </xf>
    <xf numFmtId="0" fontId="3" fillId="8" borderId="1" xfId="0" applyFont="1" applyFill="1" applyBorder="1" applyAlignment="1">
      <alignment/>
    </xf>
    <xf numFmtId="0" fontId="0" fillId="11" borderId="29" xfId="0" applyFill="1" applyBorder="1" applyAlignment="1">
      <alignment horizontal="centerContinuous" wrapText="1"/>
    </xf>
    <xf numFmtId="0" fontId="0" fillId="10" borderId="0" xfId="0" applyFill="1" applyAlignment="1">
      <alignment/>
    </xf>
    <xf numFmtId="0" fontId="0" fillId="10" borderId="29" xfId="0" applyFill="1" applyBorder="1" applyAlignment="1">
      <alignment/>
    </xf>
    <xf numFmtId="0" fontId="0" fillId="0" borderId="30" xfId="0" applyBorder="1" applyAlignment="1">
      <alignment/>
    </xf>
    <xf numFmtId="0" fontId="0" fillId="0" borderId="31" xfId="0" applyBorder="1" applyAlignment="1">
      <alignment horizontal="centerContinuous" wrapText="1"/>
    </xf>
    <xf numFmtId="0" fontId="0" fillId="0" borderId="31" xfId="0" applyBorder="1" applyAlignment="1">
      <alignment wrapText="1"/>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8" borderId="1" xfId="0" applyFill="1" applyBorder="1" applyAlignment="1">
      <alignment horizontal="centerContinuous" wrapText="1"/>
    </xf>
    <xf numFmtId="0" fontId="3" fillId="0" borderId="1" xfId="0" applyFont="1" applyBorder="1" applyAlignment="1">
      <alignment horizontal="center"/>
    </xf>
    <xf numFmtId="0" fontId="0" fillId="0" borderId="29" xfId="0" applyBorder="1" applyAlignment="1">
      <alignment/>
    </xf>
    <xf numFmtId="0" fontId="0" fillId="0" borderId="36" xfId="0" applyBorder="1" applyAlignment="1">
      <alignment/>
    </xf>
    <xf numFmtId="0" fontId="6" fillId="12" borderId="0" xfId="0" applyFont="1" applyFill="1" applyAlignment="1">
      <alignment horizontal="centerContinuous"/>
    </xf>
    <xf numFmtId="0" fontId="0" fillId="0" borderId="37" xfId="0" applyBorder="1" applyAlignment="1">
      <alignment/>
    </xf>
    <xf numFmtId="0" fontId="0" fillId="0" borderId="38" xfId="0" applyBorder="1" applyAlignment="1">
      <alignment horizontal="centerContinuous" wrapText="1"/>
    </xf>
    <xf numFmtId="0" fontId="0" fillId="0" borderId="38" xfId="0" applyBorder="1" applyAlignment="1">
      <alignment/>
    </xf>
    <xf numFmtId="0" fontId="0" fillId="0" borderId="38" xfId="0" applyBorder="1" applyAlignment="1">
      <alignment wrapText="1"/>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13" fillId="13" borderId="0" xfId="0" applyFont="1" applyFill="1" applyAlignment="1">
      <alignment horizontal="centerContinuous"/>
    </xf>
    <xf numFmtId="0" fontId="0" fillId="0" borderId="37" xfId="0" applyBorder="1" applyAlignment="1">
      <alignment horizontal="centerContinuous" wrapText="1"/>
    </xf>
    <xf numFmtId="0" fontId="13" fillId="14" borderId="0" xfId="0" applyFont="1" applyFill="1" applyAlignment="1">
      <alignment horizontal="centerContinuous"/>
    </xf>
    <xf numFmtId="0" fontId="1" fillId="0" borderId="0" xfId="0" applyFont="1" applyBorder="1" applyAlignment="1">
      <alignment/>
    </xf>
    <xf numFmtId="0" fontId="0" fillId="0" borderId="0" xfId="0" applyBorder="1" applyAlignment="1">
      <alignment horizontal="centerContinuous"/>
    </xf>
    <xf numFmtId="0" fontId="0" fillId="0" borderId="0" xfId="0" applyBorder="1" applyAlignment="1">
      <alignment/>
    </xf>
    <xf numFmtId="0" fontId="1" fillId="0" borderId="37" xfId="0" applyFont="1" applyBorder="1" applyAlignment="1">
      <alignment horizontal="centerContinuous" wrapText="1"/>
    </xf>
    <xf numFmtId="0" fontId="1" fillId="0" borderId="40" xfId="0" applyFont="1" applyBorder="1" applyAlignment="1">
      <alignment/>
    </xf>
    <xf numFmtId="0" fontId="1" fillId="0" borderId="42" xfId="0" applyFont="1" applyBorder="1" applyAlignment="1">
      <alignment/>
    </xf>
    <xf numFmtId="0" fontId="1" fillId="0" borderId="33" xfId="0" applyFont="1" applyBorder="1" applyAlignment="1">
      <alignment/>
    </xf>
    <xf numFmtId="0" fontId="1" fillId="0" borderId="35" xfId="0" applyFont="1" applyBorder="1" applyAlignment="1">
      <alignment/>
    </xf>
    <xf numFmtId="0" fontId="0" fillId="0" borderId="43" xfId="0" applyBorder="1" applyAlignment="1">
      <alignment/>
    </xf>
    <xf numFmtId="0" fontId="15" fillId="0" borderId="43" xfId="0" applyFont="1" applyBorder="1" applyAlignment="1">
      <alignment/>
    </xf>
    <xf numFmtId="43" fontId="0" fillId="0" borderId="34" xfId="0" applyNumberFormat="1" applyBorder="1" applyAlignment="1">
      <alignment/>
    </xf>
    <xf numFmtId="0" fontId="14" fillId="0" borderId="34" xfId="0" applyFont="1" applyBorder="1" applyAlignment="1">
      <alignment/>
    </xf>
    <xf numFmtId="0" fontId="0" fillId="0" borderId="34" xfId="0" applyFont="1" applyBorder="1" applyAlignment="1">
      <alignment/>
    </xf>
    <xf numFmtId="0" fontId="0" fillId="0" borderId="34" xfId="0" applyNumberFormat="1" applyBorder="1" applyAlignment="1">
      <alignment/>
    </xf>
    <xf numFmtId="0" fontId="15" fillId="0" borderId="0" xfId="0" applyFont="1" applyAlignment="1">
      <alignment/>
    </xf>
    <xf numFmtId="0" fontId="0" fillId="0" borderId="38" xfId="0" applyBorder="1" applyAlignment="1">
      <alignment horizontal="center"/>
    </xf>
    <xf numFmtId="43" fontId="0" fillId="0" borderId="41" xfId="0" applyNumberFormat="1" applyBorder="1" applyAlignment="1">
      <alignment/>
    </xf>
    <xf numFmtId="44" fontId="0" fillId="0" borderId="41" xfId="0" applyNumberFormat="1" applyBorder="1" applyAlignment="1">
      <alignment/>
    </xf>
    <xf numFmtId="44" fontId="0" fillId="0" borderId="34" xfId="0" applyNumberFormat="1" applyBorder="1" applyAlignment="1">
      <alignment/>
    </xf>
    <xf numFmtId="14" fontId="0" fillId="0" borderId="34" xfId="0" applyNumberFormat="1" applyBorder="1" applyAlignment="1">
      <alignment/>
    </xf>
    <xf numFmtId="9" fontId="0" fillId="0" borderId="34" xfId="0" applyNumberFormat="1" applyBorder="1" applyAlignment="1">
      <alignment/>
    </xf>
    <xf numFmtId="0" fontId="1" fillId="0" borderId="39" xfId="0" applyFont="1" applyBorder="1" applyAlignment="1">
      <alignment wrapText="1"/>
    </xf>
    <xf numFmtId="0" fontId="0" fillId="0" borderId="0" xfId="0" applyAlignment="1">
      <alignment wrapText="1"/>
    </xf>
    <xf numFmtId="0" fontId="0" fillId="0" borderId="34" xfId="0" applyBorder="1" applyAlignment="1">
      <alignment horizontal="left" indent="1"/>
    </xf>
    <xf numFmtId="0" fontId="0" fillId="0" borderId="34" xfId="0" applyBorder="1" applyAlignment="1">
      <alignment horizontal="left" indent="2"/>
    </xf>
    <xf numFmtId="0" fontId="0" fillId="0" borderId="34" xfId="0" applyBorder="1" applyAlignment="1">
      <alignment horizontal="left" wrapText="1" indent="2"/>
    </xf>
    <xf numFmtId="0" fontId="0" fillId="8" borderId="38" xfId="0" applyFill="1" applyBorder="1" applyAlignment="1">
      <alignment wrapText="1"/>
    </xf>
    <xf numFmtId="0" fontId="0" fillId="8" borderId="41" xfId="0" applyFill="1" applyBorder="1" applyAlignment="1">
      <alignment/>
    </xf>
    <xf numFmtId="0" fontId="0" fillId="8" borderId="34" xfId="0" applyFill="1" applyBorder="1" applyAlignment="1">
      <alignment/>
    </xf>
    <xf numFmtId="0" fontId="14" fillId="8" borderId="34" xfId="0" applyFont="1" applyFill="1" applyBorder="1" applyAlignment="1">
      <alignment/>
    </xf>
    <xf numFmtId="0" fontId="0" fillId="0" borderId="34" xfId="0" applyBorder="1" applyAlignment="1">
      <alignment horizontal="right"/>
    </xf>
    <xf numFmtId="207" fontId="0" fillId="0" borderId="34" xfId="0" applyNumberFormat="1" applyBorder="1" applyAlignment="1">
      <alignment/>
    </xf>
    <xf numFmtId="0" fontId="0" fillId="0" borderId="44" xfId="0" applyBorder="1" applyAlignment="1">
      <alignment/>
    </xf>
    <xf numFmtId="0" fontId="0" fillId="0" borderId="45" xfId="0" applyBorder="1" applyAlignment="1">
      <alignment/>
    </xf>
    <xf numFmtId="0" fontId="14" fillId="0" borderId="45" xfId="0" applyFont="1" applyBorder="1" applyAlignment="1">
      <alignment/>
    </xf>
    <xf numFmtId="43" fontId="0" fillId="0" borderId="45" xfId="0" applyNumberFormat="1" applyBorder="1" applyAlignment="1">
      <alignment/>
    </xf>
    <xf numFmtId="0" fontId="0" fillId="0" borderId="46" xfId="0" applyBorder="1" applyAlignment="1">
      <alignment/>
    </xf>
    <xf numFmtId="0" fontId="0" fillId="0" borderId="47" xfId="0" applyBorder="1" applyAlignment="1">
      <alignment/>
    </xf>
    <xf numFmtId="0" fontId="0" fillId="0" borderId="48" xfId="0" applyBorder="1" applyAlignment="1">
      <alignment/>
    </xf>
    <xf numFmtId="43" fontId="0" fillId="0" borderId="48" xfId="0" applyNumberFormat="1" applyBorder="1" applyAlignment="1">
      <alignment/>
    </xf>
    <xf numFmtId="0" fontId="0" fillId="0" borderId="49" xfId="0" applyBorder="1" applyAlignment="1">
      <alignment/>
    </xf>
    <xf numFmtId="43" fontId="0" fillId="0" borderId="36" xfId="0" applyNumberFormat="1" applyBorder="1" applyAlignment="1">
      <alignment/>
    </xf>
    <xf numFmtId="14" fontId="0" fillId="0" borderId="45" xfId="0" applyNumberFormat="1" applyBorder="1" applyAlignment="1">
      <alignment/>
    </xf>
    <xf numFmtId="9" fontId="0" fillId="0" borderId="45" xfId="0" applyNumberFormat="1" applyBorder="1" applyAlignment="1">
      <alignment/>
    </xf>
    <xf numFmtId="44" fontId="0" fillId="0" borderId="45" xfId="0" applyNumberFormat="1" applyBorder="1" applyAlignment="1">
      <alignment/>
    </xf>
    <xf numFmtId="44" fontId="0" fillId="0" borderId="48" xfId="0" applyNumberFormat="1" applyBorder="1" applyAlignment="1">
      <alignment/>
    </xf>
    <xf numFmtId="44" fontId="0" fillId="0" borderId="1" xfId="0" applyNumberFormat="1" applyBorder="1" applyAlignment="1">
      <alignment/>
    </xf>
    <xf numFmtId="44" fontId="0" fillId="0" borderId="36" xfId="0" applyNumberFormat="1" applyBorder="1" applyAlignment="1">
      <alignment/>
    </xf>
    <xf numFmtId="44" fontId="0" fillId="0" borderId="29" xfId="0" applyNumberFormat="1" applyBorder="1" applyAlignment="1">
      <alignment/>
    </xf>
    <xf numFmtId="207" fontId="0" fillId="8" borderId="41" xfId="0" applyNumberFormat="1" applyFill="1" applyBorder="1" applyAlignment="1">
      <alignment/>
    </xf>
    <xf numFmtId="207" fontId="0" fillId="8" borderId="34" xfId="0" applyNumberFormat="1" applyFill="1" applyBorder="1" applyAlignment="1">
      <alignment/>
    </xf>
    <xf numFmtId="0" fontId="0" fillId="8" borderId="41" xfId="0" applyNumberFormat="1" applyFill="1" applyBorder="1" applyAlignment="1">
      <alignment/>
    </xf>
    <xf numFmtId="0" fontId="0" fillId="8" borderId="41" xfId="0" applyNumberFormat="1" applyFill="1" applyBorder="1" applyAlignment="1">
      <alignment horizontal="center"/>
    </xf>
    <xf numFmtId="0" fontId="0" fillId="0" borderId="50" xfId="0" applyBorder="1" applyAlignment="1">
      <alignment/>
    </xf>
    <xf numFmtId="0" fontId="0" fillId="0" borderId="9" xfId="0" applyBorder="1" applyAlignment="1">
      <alignment horizontal="centerContinuous"/>
    </xf>
    <xf numFmtId="0" fontId="0" fillId="8" borderId="1" xfId="0" applyFill="1" applyBorder="1" applyAlignment="1">
      <alignment/>
    </xf>
    <xf numFmtId="0" fontId="3" fillId="0" borderId="1" xfId="0" applyFont="1" applyBorder="1" applyAlignment="1">
      <alignment/>
    </xf>
    <xf numFmtId="0" fontId="3" fillId="0" borderId="1" xfId="0" applyFont="1" applyBorder="1" applyAlignment="1">
      <alignment wrapText="1"/>
    </xf>
    <xf numFmtId="0" fontId="3" fillId="0" borderId="1" xfId="0" applyNumberFormat="1" applyFont="1" applyBorder="1" applyAlignment="1">
      <alignment/>
    </xf>
    <xf numFmtId="0" fontId="3" fillId="0" borderId="51" xfId="0" applyFont="1" applyFill="1" applyBorder="1" applyAlignment="1">
      <alignment/>
    </xf>
    <xf numFmtId="0" fontId="3" fillId="0" borderId="1" xfId="0" applyFont="1" applyFill="1" applyBorder="1" applyAlignment="1">
      <alignment/>
    </xf>
    <xf numFmtId="0" fontId="0" fillId="0" borderId="1" xfId="0" applyFont="1" applyFill="1" applyBorder="1" applyAlignment="1">
      <alignment/>
    </xf>
    <xf numFmtId="0" fontId="0" fillId="0" borderId="1" xfId="0" applyFill="1" applyBorder="1" applyAlignment="1">
      <alignment wrapText="1"/>
    </xf>
    <xf numFmtId="14" fontId="0" fillId="0" borderId="1" xfId="0" applyNumberFormat="1" applyFill="1" applyBorder="1" applyAlignment="1">
      <alignment/>
    </xf>
    <xf numFmtId="0" fontId="0" fillId="10" borderId="1" xfId="0" applyFont="1" applyFill="1" applyBorder="1" applyAlignment="1">
      <alignment/>
    </xf>
    <xf numFmtId="0" fontId="0" fillId="15" borderId="14" xfId="0" applyFont="1" applyFill="1" applyBorder="1" applyAlignment="1" applyProtection="1">
      <alignment vertical="top" wrapText="1"/>
      <protection locked="0"/>
    </xf>
    <xf numFmtId="0" fontId="0" fillId="15" borderId="52" xfId="0" applyFont="1" applyFill="1" applyBorder="1" applyAlignment="1" applyProtection="1">
      <alignment vertical="top" wrapText="1"/>
      <protection locked="0"/>
    </xf>
    <xf numFmtId="0" fontId="0" fillId="0" borderId="1" xfId="0" applyNumberFormat="1" applyFont="1" applyBorder="1" applyAlignment="1">
      <alignment horizontal="center"/>
    </xf>
    <xf numFmtId="0" fontId="3" fillId="0" borderId="0" xfId="0" applyFont="1" applyAlignment="1">
      <alignment horizontal="center"/>
    </xf>
    <xf numFmtId="0" fontId="3" fillId="0" borderId="0" xfId="0" applyFont="1" applyAlignment="1">
      <alignment horizontal="center" wrapText="1"/>
    </xf>
    <xf numFmtId="0" fontId="3" fillId="0" borderId="53" xfId="0" applyFont="1" applyBorder="1" applyAlignment="1">
      <alignment horizontal="center" wrapText="1"/>
    </xf>
    <xf numFmtId="49" fontId="0" fillId="6" borderId="54" xfId="0" applyNumberFormat="1" applyFont="1" applyFill="1" applyBorder="1" applyAlignment="1" applyProtection="1">
      <alignment horizontal="left"/>
      <protection locked="0"/>
    </xf>
    <xf numFmtId="49" fontId="0" fillId="6" borderId="0" xfId="0" applyNumberFormat="1" applyFont="1" applyFill="1" applyBorder="1" applyAlignment="1" applyProtection="1">
      <alignment horizontal="left"/>
      <protection locked="0"/>
    </xf>
    <xf numFmtId="49" fontId="0" fillId="6" borderId="14" xfId="0" applyNumberFormat="1" applyFont="1" applyFill="1" applyBorder="1" applyAlignment="1" applyProtection="1">
      <alignment horizontal="left"/>
      <protection locked="0"/>
    </xf>
    <xf numFmtId="0" fontId="8" fillId="6" borderId="0" xfId="0" applyFont="1" applyFill="1" applyBorder="1" applyAlignment="1" applyProtection="1">
      <alignment horizontal="center" vertical="center" wrapText="1"/>
      <protection locked="0"/>
    </xf>
    <xf numFmtId="0" fontId="0" fillId="6" borderId="0" xfId="0" applyFont="1" applyFill="1" applyBorder="1" applyAlignment="1" applyProtection="1">
      <alignment horizontal="left" wrapText="1"/>
      <protection locked="0"/>
    </xf>
    <xf numFmtId="0" fontId="0" fillId="6" borderId="22" xfId="0" applyFont="1" applyFill="1" applyBorder="1" applyAlignment="1" applyProtection="1">
      <alignment horizontal="left" wrapText="1"/>
      <protection locked="0"/>
    </xf>
    <xf numFmtId="49" fontId="0" fillId="6" borderId="16" xfId="0" applyNumberFormat="1" applyFont="1" applyFill="1" applyBorder="1" applyAlignment="1" applyProtection="1">
      <alignment/>
      <protection locked="0"/>
    </xf>
    <xf numFmtId="49" fontId="0" fillId="6" borderId="55" xfId="0" applyNumberFormat="1" applyFont="1" applyFill="1" applyBorder="1" applyAlignment="1" applyProtection="1">
      <alignment/>
      <protection locked="0"/>
    </xf>
    <xf numFmtId="0" fontId="3" fillId="6" borderId="17" xfId="0" applyFont="1" applyFill="1" applyBorder="1" applyAlignment="1">
      <alignment horizontal="center"/>
    </xf>
    <xf numFmtId="0" fontId="3" fillId="6" borderId="56" xfId="0" applyFont="1" applyFill="1" applyBorder="1" applyAlignment="1">
      <alignment horizontal="center"/>
    </xf>
    <xf numFmtId="0" fontId="3" fillId="6" borderId="57" xfId="0" applyFont="1" applyFill="1" applyBorder="1" applyAlignment="1">
      <alignment horizontal="center"/>
    </xf>
    <xf numFmtId="49" fontId="0" fillId="6" borderId="58" xfId="0" applyNumberFormat="1" applyFont="1" applyFill="1" applyBorder="1" applyAlignment="1" applyProtection="1">
      <alignment horizontal="left"/>
      <protection locked="0"/>
    </xf>
    <xf numFmtId="49" fontId="0" fillId="6" borderId="59" xfId="0" applyNumberFormat="1" applyFont="1" applyFill="1" applyBorder="1" applyAlignment="1" applyProtection="1">
      <alignment horizontal="left"/>
      <protection locked="0"/>
    </xf>
    <xf numFmtId="49" fontId="0" fillId="6" borderId="60" xfId="0" applyNumberFormat="1" applyFont="1" applyFill="1" applyBorder="1" applyAlignment="1" applyProtection="1">
      <alignment horizontal="left"/>
      <protection locked="0"/>
    </xf>
    <xf numFmtId="0" fontId="8" fillId="6" borderId="59" xfId="0" applyFont="1" applyFill="1" applyBorder="1" applyAlignment="1" applyProtection="1">
      <alignment horizontal="center" vertical="center" wrapText="1"/>
      <protection locked="0"/>
    </xf>
    <xf numFmtId="0" fontId="0" fillId="0" borderId="59"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6" borderId="22" xfId="0" applyFont="1" applyFill="1" applyBorder="1" applyAlignment="1" applyProtection="1">
      <alignment/>
      <protection locked="0"/>
    </xf>
    <xf numFmtId="49" fontId="0" fillId="6" borderId="56" xfId="0" applyNumberFormat="1" applyFont="1" applyFill="1" applyBorder="1" applyAlignment="1" applyProtection="1">
      <alignment/>
      <protection locked="0"/>
    </xf>
    <xf numFmtId="0" fontId="0" fillId="15" borderId="58" xfId="0" applyFont="1" applyFill="1" applyBorder="1" applyAlignment="1" applyProtection="1">
      <alignment vertical="top" wrapText="1"/>
      <protection locked="0"/>
    </xf>
    <xf numFmtId="0" fontId="0" fillId="15" borderId="59" xfId="0" applyFont="1" applyFill="1" applyBorder="1" applyAlignment="1" applyProtection="1">
      <alignment vertical="top" wrapText="1"/>
      <protection locked="0"/>
    </xf>
    <xf numFmtId="0" fontId="0" fillId="15" borderId="60" xfId="0" applyFont="1" applyFill="1" applyBorder="1" applyAlignment="1" applyProtection="1">
      <alignment vertical="top" wrapText="1"/>
      <protection locked="0"/>
    </xf>
    <xf numFmtId="0" fontId="0" fillId="15" borderId="54" xfId="0" applyFont="1" applyFill="1" applyBorder="1" applyAlignment="1" applyProtection="1">
      <alignment vertical="top" wrapText="1"/>
      <protection locked="0"/>
    </xf>
    <xf numFmtId="0" fontId="0" fillId="15" borderId="0" xfId="0" applyFont="1" applyFill="1" applyBorder="1" applyAlignment="1" applyProtection="1">
      <alignment vertical="top" wrapText="1"/>
      <protection locked="0"/>
    </xf>
    <xf numFmtId="0" fontId="0" fillId="15" borderId="0" xfId="0" applyFont="1" applyFill="1" applyAlignment="1" applyProtection="1">
      <alignment vertical="top" wrapText="1"/>
      <protection locked="0"/>
    </xf>
    <xf numFmtId="0" fontId="0" fillId="15" borderId="22" xfId="0" applyFont="1" applyFill="1" applyBorder="1" applyAlignment="1" applyProtection="1">
      <alignment vertical="top" wrapText="1"/>
      <protection locked="0"/>
    </xf>
    <xf numFmtId="0" fontId="0" fillId="15" borderId="23" xfId="0" applyFont="1" applyFill="1" applyBorder="1" applyAlignment="1" applyProtection="1">
      <alignment vertical="top" wrapText="1"/>
      <protection locked="0"/>
    </xf>
    <xf numFmtId="17" fontId="0" fillId="6" borderId="56" xfId="0" applyNumberFormat="1" applyFont="1" applyFill="1" applyBorder="1" applyAlignment="1" applyProtection="1">
      <alignment horizontal="left"/>
      <protection locked="0"/>
    </xf>
    <xf numFmtId="49" fontId="0" fillId="6" borderId="52" xfId="0" applyNumberFormat="1" applyFont="1" applyFill="1" applyBorder="1" applyAlignment="1" applyProtection="1">
      <alignment horizontal="left"/>
      <protection locked="0"/>
    </xf>
    <xf numFmtId="49" fontId="0" fillId="6" borderId="22" xfId="0" applyNumberFormat="1" applyFont="1" applyFill="1" applyBorder="1" applyAlignment="1" applyProtection="1">
      <alignment horizontal="left"/>
      <protection locked="0"/>
    </xf>
    <xf numFmtId="49" fontId="0" fillId="6" borderId="23" xfId="0" applyNumberFormat="1" applyFont="1" applyFill="1" applyBorder="1" applyAlignment="1" applyProtection="1">
      <alignment horizontal="left"/>
      <protection locked="0"/>
    </xf>
    <xf numFmtId="0" fontId="8" fillId="6" borderId="58" xfId="0" applyFont="1" applyFill="1" applyBorder="1" applyAlignment="1" applyProtection="1">
      <alignment horizontal="center" vertical="center" wrapText="1"/>
      <protection locked="0"/>
    </xf>
    <xf numFmtId="0" fontId="8" fillId="6" borderId="60" xfId="0" applyFont="1" applyFill="1" applyBorder="1" applyAlignment="1" applyProtection="1">
      <alignment horizontal="center" vertical="center" wrapText="1"/>
      <protection locked="0"/>
    </xf>
    <xf numFmtId="0" fontId="8" fillId="6" borderId="54" xfId="0" applyFont="1" applyFill="1" applyBorder="1" applyAlignment="1" applyProtection="1">
      <alignment horizontal="center" vertical="center" wrapText="1"/>
      <protection locked="0"/>
    </xf>
    <xf numFmtId="0" fontId="8" fillId="6" borderId="14" xfId="0" applyFont="1" applyFill="1" applyBorder="1" applyAlignment="1" applyProtection="1">
      <alignment horizontal="center" vertical="center" wrapText="1"/>
      <protection locked="0"/>
    </xf>
    <xf numFmtId="0" fontId="2" fillId="16" borderId="1" xfId="0" applyFont="1" applyFill="1" applyBorder="1" applyAlignment="1">
      <alignment horizontal="center"/>
    </xf>
    <xf numFmtId="0" fontId="0" fillId="0" borderId="1" xfId="0" applyBorder="1" applyAlignment="1">
      <alignment horizontal="center" vertical="center" wrapText="1"/>
    </xf>
    <xf numFmtId="0" fontId="0" fillId="0" borderId="61" xfId="0" applyBorder="1" applyAlignment="1">
      <alignment horizontal="center"/>
    </xf>
    <xf numFmtId="0" fontId="0" fillId="0" borderId="40" xfId="0" applyBorder="1" applyAlignment="1">
      <alignment horizontal="center"/>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0" fillId="0" borderId="41" xfId="0" applyBorder="1" applyAlignment="1">
      <alignment horizontal="center" vertical="center" wrapText="1"/>
    </xf>
    <xf numFmtId="0" fontId="0" fillId="0" borderId="67"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42"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styles" Target="styles.xml" /><Relationship Id="rId56" Type="http://schemas.openxmlformats.org/officeDocument/2006/relationships/sharedStrings" Target="sharedStrings.xml" /><Relationship Id="rId57" Type="http://schemas.openxmlformats.org/officeDocument/2006/relationships/externalLink" Target="externalLinks/externalLink1.xml" /><Relationship Id="rId5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638175</xdr:colOff>
      <xdr:row>9</xdr:row>
      <xdr:rowOff>0</xdr:rowOff>
    </xdr:from>
    <xdr:to>
      <xdr:col>7</xdr:col>
      <xdr:colOff>647700</xdr:colOff>
      <xdr:row>10</xdr:row>
      <xdr:rowOff>28575</xdr:rowOff>
    </xdr:to>
    <xdr:sp>
      <xdr:nvSpPr>
        <xdr:cNvPr id="1" name="Line 1"/>
        <xdr:cNvSpPr>
          <a:spLocks/>
        </xdr:cNvSpPr>
      </xdr:nvSpPr>
      <xdr:spPr>
        <a:xfrm flipH="1">
          <a:off x="6581775" y="2105025"/>
          <a:ext cx="9525"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9</xdr:row>
      <xdr:rowOff>76200</xdr:rowOff>
    </xdr:from>
    <xdr:to>
      <xdr:col>8</xdr:col>
      <xdr:colOff>790575</xdr:colOff>
      <xdr:row>11</xdr:row>
      <xdr:rowOff>295275</xdr:rowOff>
    </xdr:to>
    <xdr:sp>
      <xdr:nvSpPr>
        <xdr:cNvPr id="2" name="Line 2"/>
        <xdr:cNvSpPr>
          <a:spLocks/>
        </xdr:cNvSpPr>
      </xdr:nvSpPr>
      <xdr:spPr>
        <a:xfrm flipV="1">
          <a:off x="7286625" y="2181225"/>
          <a:ext cx="742950" cy="1028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847725</xdr:colOff>
      <xdr:row>9</xdr:row>
      <xdr:rowOff>38100</xdr:rowOff>
    </xdr:from>
    <xdr:to>
      <xdr:col>9</xdr:col>
      <xdr:colOff>733425</xdr:colOff>
      <xdr:row>9</xdr:row>
      <xdr:rowOff>104775</xdr:rowOff>
    </xdr:to>
    <xdr:sp>
      <xdr:nvSpPr>
        <xdr:cNvPr id="3" name="Line 3"/>
        <xdr:cNvSpPr>
          <a:spLocks/>
        </xdr:cNvSpPr>
      </xdr:nvSpPr>
      <xdr:spPr>
        <a:xfrm flipV="1">
          <a:off x="8086725" y="2143125"/>
          <a:ext cx="1076325" cy="66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180975</xdr:colOff>
      <xdr:row>6</xdr:row>
      <xdr:rowOff>0</xdr:rowOff>
    </xdr:from>
    <xdr:to>
      <xdr:col>7</xdr:col>
      <xdr:colOff>219075</xdr:colOff>
      <xdr:row>6</xdr:row>
      <xdr:rowOff>9525</xdr:rowOff>
    </xdr:to>
    <xdr:sp>
      <xdr:nvSpPr>
        <xdr:cNvPr id="4" name="Line 4"/>
        <xdr:cNvSpPr>
          <a:spLocks/>
        </xdr:cNvSpPr>
      </xdr:nvSpPr>
      <xdr:spPr>
        <a:xfrm>
          <a:off x="180975" y="971550"/>
          <a:ext cx="598170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11</xdr:row>
      <xdr:rowOff>200025</xdr:rowOff>
    </xdr:from>
    <xdr:to>
      <xdr:col>4</xdr:col>
      <xdr:colOff>581025</xdr:colOff>
      <xdr:row>11</xdr:row>
      <xdr:rowOff>200025</xdr:rowOff>
    </xdr:to>
    <xdr:sp>
      <xdr:nvSpPr>
        <xdr:cNvPr id="5" name="Line 5"/>
        <xdr:cNvSpPr>
          <a:spLocks/>
        </xdr:cNvSpPr>
      </xdr:nvSpPr>
      <xdr:spPr>
        <a:xfrm>
          <a:off x="47625" y="3114675"/>
          <a:ext cx="4162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16</xdr:row>
      <xdr:rowOff>28575</xdr:rowOff>
    </xdr:from>
    <xdr:to>
      <xdr:col>4</xdr:col>
      <xdr:colOff>733425</xdr:colOff>
      <xdr:row>23</xdr:row>
      <xdr:rowOff>114300</xdr:rowOff>
    </xdr:to>
    <xdr:sp>
      <xdr:nvSpPr>
        <xdr:cNvPr id="1" name="AutoShape 1"/>
        <xdr:cNvSpPr>
          <a:spLocks/>
        </xdr:cNvSpPr>
      </xdr:nvSpPr>
      <xdr:spPr>
        <a:xfrm rot="1599844">
          <a:off x="276225" y="3057525"/>
          <a:ext cx="1781175" cy="1247775"/>
        </a:xfrm>
        <a:prstGeom prst="irregularSeal2">
          <a:avLst/>
        </a:prstGeom>
        <a:gradFill rotWithShape="1">
          <a:gsLst>
            <a:gs pos="0">
              <a:srgbClr val="FF0000"/>
            </a:gs>
            <a:gs pos="100000">
              <a:srgbClr val="FFFF00"/>
            </a:gs>
          </a:gsLst>
          <a:lin ang="5400000" scaled="1"/>
        </a:gra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Cash Out Only!!!</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28</xdr:row>
      <xdr:rowOff>28575</xdr:rowOff>
    </xdr:from>
    <xdr:to>
      <xdr:col>3</xdr:col>
      <xdr:colOff>3409950</xdr:colOff>
      <xdr:row>43</xdr:row>
      <xdr:rowOff>152400</xdr:rowOff>
    </xdr:to>
    <xdr:sp>
      <xdr:nvSpPr>
        <xdr:cNvPr id="1" name="AutoShape 1"/>
        <xdr:cNvSpPr>
          <a:spLocks/>
        </xdr:cNvSpPr>
      </xdr:nvSpPr>
      <xdr:spPr>
        <a:xfrm rot="1599844">
          <a:off x="1685925" y="5248275"/>
          <a:ext cx="2847975" cy="2552700"/>
        </a:xfrm>
        <a:prstGeom prst="irregularSeal2">
          <a:avLst/>
        </a:prstGeom>
        <a:gradFill rotWithShape="1">
          <a:gsLst>
            <a:gs pos="0">
              <a:srgbClr val="FF0000"/>
            </a:gs>
            <a:gs pos="100000">
              <a:srgbClr val="FFFF00"/>
            </a:gs>
          </a:gsLst>
          <a:lin ang="5400000" scaled="1"/>
        </a:gra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Everything that does not fit in one of the other journals!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11</xdr:row>
      <xdr:rowOff>123825</xdr:rowOff>
    </xdr:from>
    <xdr:to>
      <xdr:col>4</xdr:col>
      <xdr:colOff>714375</xdr:colOff>
      <xdr:row>19</xdr:row>
      <xdr:rowOff>47625</xdr:rowOff>
    </xdr:to>
    <xdr:sp>
      <xdr:nvSpPr>
        <xdr:cNvPr id="1" name="AutoShape 4"/>
        <xdr:cNvSpPr>
          <a:spLocks/>
        </xdr:cNvSpPr>
      </xdr:nvSpPr>
      <xdr:spPr>
        <a:xfrm rot="1599844">
          <a:off x="314325" y="2124075"/>
          <a:ext cx="1781175" cy="1247775"/>
        </a:xfrm>
        <a:prstGeom prst="irregularSeal2">
          <a:avLst/>
        </a:prstGeom>
        <a:gradFill rotWithShape="1">
          <a:gsLst>
            <a:gs pos="0">
              <a:srgbClr val="FF0000"/>
            </a:gs>
            <a:gs pos="100000">
              <a:srgbClr val="FFFF00"/>
            </a:gs>
          </a:gsLst>
          <a:lin ang="5400000" scaled="1"/>
        </a:gra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Sales On Account Only!!!</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12</xdr:row>
      <xdr:rowOff>114300</xdr:rowOff>
    </xdr:from>
    <xdr:to>
      <xdr:col>3</xdr:col>
      <xdr:colOff>1533525</xdr:colOff>
      <xdr:row>22</xdr:row>
      <xdr:rowOff>133350</xdr:rowOff>
    </xdr:to>
    <xdr:sp>
      <xdr:nvSpPr>
        <xdr:cNvPr id="1" name="AutoShape 3"/>
        <xdr:cNvSpPr>
          <a:spLocks/>
        </xdr:cNvSpPr>
      </xdr:nvSpPr>
      <xdr:spPr>
        <a:xfrm rot="1599844">
          <a:off x="619125" y="2495550"/>
          <a:ext cx="1781175" cy="1666875"/>
        </a:xfrm>
        <a:prstGeom prst="irregularSeal2">
          <a:avLst/>
        </a:prstGeom>
        <a:gradFill rotWithShape="1">
          <a:gsLst>
            <a:gs pos="0">
              <a:srgbClr val="FF0000"/>
            </a:gs>
            <a:gs pos="100000">
              <a:srgbClr val="FFFF00"/>
            </a:gs>
          </a:gsLst>
          <a:lin ang="5400000" scaled="1"/>
        </a:gra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Purchases On Account Only!!!</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15</xdr:row>
      <xdr:rowOff>66675</xdr:rowOff>
    </xdr:from>
    <xdr:to>
      <xdr:col>3</xdr:col>
      <xdr:colOff>1609725</xdr:colOff>
      <xdr:row>22</xdr:row>
      <xdr:rowOff>152400</xdr:rowOff>
    </xdr:to>
    <xdr:sp>
      <xdr:nvSpPr>
        <xdr:cNvPr id="1" name="AutoShape 5"/>
        <xdr:cNvSpPr>
          <a:spLocks/>
        </xdr:cNvSpPr>
      </xdr:nvSpPr>
      <xdr:spPr>
        <a:xfrm rot="1599844">
          <a:off x="1038225" y="2771775"/>
          <a:ext cx="1447800" cy="1247775"/>
        </a:xfrm>
        <a:prstGeom prst="irregularSeal2">
          <a:avLst/>
        </a:prstGeom>
        <a:gradFill rotWithShape="1">
          <a:gsLst>
            <a:gs pos="0">
              <a:srgbClr val="FF0000"/>
            </a:gs>
            <a:gs pos="100000">
              <a:srgbClr val="FFFF00"/>
            </a:gs>
          </a:gsLst>
          <a:lin ang="5400000" scaled="1"/>
        </a:gra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Cash In Only!!!</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16</xdr:row>
      <xdr:rowOff>28575</xdr:rowOff>
    </xdr:from>
    <xdr:to>
      <xdr:col>4</xdr:col>
      <xdr:colOff>733425</xdr:colOff>
      <xdr:row>23</xdr:row>
      <xdr:rowOff>114300</xdr:rowOff>
    </xdr:to>
    <xdr:sp>
      <xdr:nvSpPr>
        <xdr:cNvPr id="1" name="AutoShape 3"/>
        <xdr:cNvSpPr>
          <a:spLocks/>
        </xdr:cNvSpPr>
      </xdr:nvSpPr>
      <xdr:spPr>
        <a:xfrm rot="1599844">
          <a:off x="276225" y="3057525"/>
          <a:ext cx="1781175" cy="1247775"/>
        </a:xfrm>
        <a:prstGeom prst="irregularSeal2">
          <a:avLst/>
        </a:prstGeom>
        <a:gradFill rotWithShape="1">
          <a:gsLst>
            <a:gs pos="0">
              <a:srgbClr val="FF0000"/>
            </a:gs>
            <a:gs pos="100000">
              <a:srgbClr val="FFFF00"/>
            </a:gs>
          </a:gsLst>
          <a:lin ang="5400000" scaled="1"/>
        </a:gra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Cash Out Only!!!</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2</xdr:row>
      <xdr:rowOff>66675</xdr:rowOff>
    </xdr:from>
    <xdr:to>
      <xdr:col>13</xdr:col>
      <xdr:colOff>381000</xdr:colOff>
      <xdr:row>16</xdr:row>
      <xdr:rowOff>19050</xdr:rowOff>
    </xdr:to>
    <xdr:sp>
      <xdr:nvSpPr>
        <xdr:cNvPr id="1" name="AutoShape 2"/>
        <xdr:cNvSpPr>
          <a:spLocks/>
        </xdr:cNvSpPr>
      </xdr:nvSpPr>
      <xdr:spPr>
        <a:xfrm rot="1599844">
          <a:off x="7943850" y="742950"/>
          <a:ext cx="2847975" cy="2228850"/>
        </a:xfrm>
        <a:prstGeom prst="irregularSeal2">
          <a:avLst/>
        </a:prstGeom>
        <a:gradFill rotWithShape="1">
          <a:gsLst>
            <a:gs pos="0">
              <a:srgbClr val="FF0000"/>
            </a:gs>
            <a:gs pos="100000">
              <a:srgbClr val="FFFF00"/>
            </a:gs>
          </a:gsLst>
          <a:lin ang="5400000" scaled="1"/>
        </a:gra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Everything that does not fit in one of the other journals!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11</xdr:row>
      <xdr:rowOff>123825</xdr:rowOff>
    </xdr:from>
    <xdr:to>
      <xdr:col>4</xdr:col>
      <xdr:colOff>714375</xdr:colOff>
      <xdr:row>19</xdr:row>
      <xdr:rowOff>47625</xdr:rowOff>
    </xdr:to>
    <xdr:sp>
      <xdr:nvSpPr>
        <xdr:cNvPr id="1" name="AutoShape 1"/>
        <xdr:cNvSpPr>
          <a:spLocks/>
        </xdr:cNvSpPr>
      </xdr:nvSpPr>
      <xdr:spPr>
        <a:xfrm rot="1599844">
          <a:off x="314325" y="2124075"/>
          <a:ext cx="1781175" cy="1247775"/>
        </a:xfrm>
        <a:prstGeom prst="irregularSeal2">
          <a:avLst/>
        </a:prstGeom>
        <a:gradFill rotWithShape="1">
          <a:gsLst>
            <a:gs pos="0">
              <a:srgbClr val="FF0000"/>
            </a:gs>
            <a:gs pos="100000">
              <a:srgbClr val="FFFF00"/>
            </a:gs>
          </a:gsLst>
          <a:lin ang="5400000" scaled="1"/>
        </a:gra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Sales On Account Only!!!</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12</xdr:row>
      <xdr:rowOff>114300</xdr:rowOff>
    </xdr:from>
    <xdr:to>
      <xdr:col>3</xdr:col>
      <xdr:colOff>1533525</xdr:colOff>
      <xdr:row>22</xdr:row>
      <xdr:rowOff>133350</xdr:rowOff>
    </xdr:to>
    <xdr:sp>
      <xdr:nvSpPr>
        <xdr:cNvPr id="1" name="AutoShape 1"/>
        <xdr:cNvSpPr>
          <a:spLocks/>
        </xdr:cNvSpPr>
      </xdr:nvSpPr>
      <xdr:spPr>
        <a:xfrm rot="1599844">
          <a:off x="619125" y="2495550"/>
          <a:ext cx="1781175" cy="1666875"/>
        </a:xfrm>
        <a:prstGeom prst="irregularSeal2">
          <a:avLst/>
        </a:prstGeom>
        <a:gradFill rotWithShape="1">
          <a:gsLst>
            <a:gs pos="0">
              <a:srgbClr val="FF0000"/>
            </a:gs>
            <a:gs pos="100000">
              <a:srgbClr val="FFFF00"/>
            </a:gs>
          </a:gsLst>
          <a:lin ang="5400000" scaled="1"/>
        </a:gra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Purchases On Account Only!!!</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15</xdr:row>
      <xdr:rowOff>66675</xdr:rowOff>
    </xdr:from>
    <xdr:to>
      <xdr:col>3</xdr:col>
      <xdr:colOff>1609725</xdr:colOff>
      <xdr:row>22</xdr:row>
      <xdr:rowOff>152400</xdr:rowOff>
    </xdr:to>
    <xdr:sp>
      <xdr:nvSpPr>
        <xdr:cNvPr id="1" name="AutoShape 1"/>
        <xdr:cNvSpPr>
          <a:spLocks/>
        </xdr:cNvSpPr>
      </xdr:nvSpPr>
      <xdr:spPr>
        <a:xfrm rot="1599844">
          <a:off x="1038225" y="2771775"/>
          <a:ext cx="1447800" cy="1247775"/>
        </a:xfrm>
        <a:prstGeom prst="irregularSeal2">
          <a:avLst/>
        </a:prstGeom>
        <a:gradFill rotWithShape="1">
          <a:gsLst>
            <a:gs pos="0">
              <a:srgbClr val="FF0000"/>
            </a:gs>
            <a:gs pos="100000">
              <a:srgbClr val="FFFF00"/>
            </a:gs>
          </a:gsLst>
          <a:lin ang="5400000" scaled="1"/>
        </a:gra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Cash In Only!!!</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121%20Folders\ch10and11\ch10and11acc121HW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ercise 11-7"/>
      <sheetName val="P 11-4A ==&gt;"/>
      <sheetName val="Assumptions"/>
      <sheetName val="Sales"/>
      <sheetName val="Purchase"/>
      <sheetName val="Cash Rec."/>
      <sheetName val="Cash Pay."/>
      <sheetName val="General"/>
      <sheetName val="Ledgers"/>
      <sheetName val="AR Ledgers"/>
      <sheetName val="AP Ledgers"/>
      <sheetName val="Trial Bal."/>
      <sheetName val="Schedules of AR &amp; AP"/>
      <sheetName val="P 11-4B ==&gt;"/>
      <sheetName val="Assumptions (4B)"/>
      <sheetName val="Sales (4B)"/>
      <sheetName val="Purchase (4B)"/>
      <sheetName val="Cash Rec. (4B)"/>
      <sheetName val="Cash Pay. (4B)"/>
      <sheetName val="General (4B)"/>
      <sheetName val="Ledgers (4B)"/>
      <sheetName val="AR Ledgers (4B)"/>
      <sheetName val="AP Ledgers (4B)"/>
      <sheetName val="Trial Bal. (4B)"/>
      <sheetName val="Schedules of AR &amp; AP (4B)"/>
      <sheetName val="Sheet19"/>
      <sheetName val="Sheet18"/>
      <sheetName val="Sheet17"/>
      <sheetName val="Sheet16"/>
      <sheetName val="Sheet15"/>
      <sheetName val="Sheet14"/>
      <sheetName val="Sheet13"/>
      <sheetName val="Sheet12"/>
      <sheetName val="Sheet11"/>
      <sheetName val="Sheet10"/>
      <sheetName val="Sheet9"/>
      <sheetName val="Sheet8"/>
      <sheetName val="Sheet7"/>
      <sheetName val="Sheet6"/>
      <sheetName val="Sheet5"/>
      <sheetName val="Sheet4"/>
      <sheetName val="Sheet3"/>
    </sheetNames>
    <sheetDataSet>
      <sheetData sheetId="14">
        <row r="3">
          <cell r="B3">
            <v>111</v>
          </cell>
        </row>
        <row r="4">
          <cell r="B4">
            <v>113</v>
          </cell>
        </row>
        <row r="5">
          <cell r="B5">
            <v>114</v>
          </cell>
        </row>
        <row r="6">
          <cell r="B6">
            <v>115</v>
          </cell>
        </row>
        <row r="7">
          <cell r="B7">
            <v>116</v>
          </cell>
        </row>
        <row r="8">
          <cell r="B8">
            <v>121</v>
          </cell>
        </row>
        <row r="9">
          <cell r="B9">
            <v>212</v>
          </cell>
        </row>
        <row r="10">
          <cell r="B10">
            <v>215</v>
          </cell>
        </row>
        <row r="11">
          <cell r="B11">
            <v>216</v>
          </cell>
        </row>
        <row r="12">
          <cell r="B12">
            <v>217</v>
          </cell>
        </row>
        <row r="13">
          <cell r="B13">
            <v>218</v>
          </cell>
        </row>
        <row r="14">
          <cell r="B14">
            <v>219</v>
          </cell>
        </row>
        <row r="15">
          <cell r="B15">
            <v>311</v>
          </cell>
        </row>
        <row r="16">
          <cell r="B16">
            <v>312</v>
          </cell>
        </row>
        <row r="17">
          <cell r="B17">
            <v>411</v>
          </cell>
        </row>
        <row r="18">
          <cell r="B18">
            <v>412</v>
          </cell>
        </row>
        <row r="19">
          <cell r="B19">
            <v>413</v>
          </cell>
        </row>
        <row r="20">
          <cell r="B20">
            <v>511</v>
          </cell>
        </row>
        <row r="21">
          <cell r="B21">
            <v>512</v>
          </cell>
        </row>
        <row r="22">
          <cell r="B22">
            <v>513</v>
          </cell>
        </row>
        <row r="23">
          <cell r="B23">
            <v>514</v>
          </cell>
        </row>
        <row r="24">
          <cell r="B24">
            <v>521</v>
          </cell>
        </row>
        <row r="25">
          <cell r="B25">
            <v>522</v>
          </cell>
        </row>
        <row r="26">
          <cell r="B26">
            <v>527</v>
          </cell>
        </row>
        <row r="27">
          <cell r="B27">
            <v>531</v>
          </cell>
        </row>
        <row r="39">
          <cell r="G39" t="str">
            <v>Bal.</v>
          </cell>
        </row>
        <row r="43">
          <cell r="G43" t="str">
            <v>S91</v>
          </cell>
        </row>
        <row r="44">
          <cell r="G44" t="str">
            <v>PJ74</v>
          </cell>
        </row>
        <row r="45">
          <cell r="G45" t="str">
            <v>CR56</v>
          </cell>
        </row>
        <row r="46">
          <cell r="G46" t="str">
            <v>CP63</v>
          </cell>
        </row>
        <row r="47">
          <cell r="G47" t="str">
            <v>GL119</v>
          </cell>
        </row>
        <row r="48">
          <cell r="G48" t="str">
            <v>ü</v>
          </cell>
        </row>
        <row r="54">
          <cell r="H54" t="str">
            <v>Bryan Supply</v>
          </cell>
          <cell r="J54" t="str">
            <v>Crosby Products</v>
          </cell>
        </row>
        <row r="55">
          <cell r="H55" t="str">
            <v>English and Cole</v>
          </cell>
          <cell r="J55" t="str">
            <v>Duncan Office Supply</v>
          </cell>
        </row>
        <row r="56">
          <cell r="H56" t="str">
            <v>L. Parker</v>
          </cell>
          <cell r="J56" t="str">
            <v>Franklin and Son</v>
          </cell>
        </row>
        <row r="57">
          <cell r="H57" t="str">
            <v>Peterson, Inc.</v>
          </cell>
          <cell r="J57" t="str">
            <v>Vaughn and Company</v>
          </cell>
        </row>
        <row r="58">
          <cell r="H58" t="str">
            <v>Vessey Appliance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8.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9.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0.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3">
    <tabColor indexed="40"/>
  </sheetPr>
  <dimension ref="A1:I13"/>
  <sheetViews>
    <sheetView showGridLines="0" tabSelected="1" zoomScale="85" zoomScaleNormal="85" workbookViewId="0" topLeftCell="A1">
      <selection activeCell="F1" sqref="F1"/>
    </sheetView>
  </sheetViews>
  <sheetFormatPr defaultColWidth="9.140625" defaultRowHeight="12.75"/>
  <cols>
    <col min="1" max="1" width="21.140625" style="13" customWidth="1"/>
    <col min="2" max="2" width="9.140625" style="13" customWidth="1"/>
    <col min="3" max="3" width="1.8515625" style="13" customWidth="1"/>
    <col min="4" max="4" width="7.8515625" style="13" bestFit="1" customWidth="1"/>
    <col min="5" max="5" width="4.00390625" style="13" customWidth="1"/>
    <col min="6" max="6" width="38.8515625" style="13" customWidth="1"/>
    <col min="7" max="7" width="5.421875" style="13" hidden="1" customWidth="1"/>
    <col min="8" max="9" width="9.28125" style="13" customWidth="1"/>
    <col min="10" max="16384" width="9.140625" style="13" customWidth="1"/>
  </cols>
  <sheetData>
    <row r="1" spans="1:4" ht="25.5">
      <c r="A1" s="88" t="s">
        <v>11</v>
      </c>
      <c r="B1" s="89">
        <v>100</v>
      </c>
      <c r="D1" s="14" t="s">
        <v>12</v>
      </c>
    </row>
    <row r="2" spans="1:4" ht="26.25" thickBot="1">
      <c r="A2" s="90" t="s">
        <v>13</v>
      </c>
      <c r="B2" s="101"/>
      <c r="D2" s="16">
        <v>0.0825</v>
      </c>
    </row>
    <row r="3" spans="1:2" ht="13.5" thickBot="1">
      <c r="A3" s="92" t="s">
        <v>14</v>
      </c>
      <c r="B3" s="102"/>
    </row>
    <row r="4" spans="1:6" ht="39" thickBot="1">
      <c r="A4" s="94" t="s">
        <v>15</v>
      </c>
      <c r="B4" s="102"/>
      <c r="D4" s="17">
        <v>0.035</v>
      </c>
      <c r="F4" s="12"/>
    </row>
    <row r="5" spans="1:2" ht="64.5" thickBot="1">
      <c r="A5" s="95" t="s">
        <v>16</v>
      </c>
      <c r="B5" s="103"/>
    </row>
    <row r="6" ht="13.5" thickTop="1"/>
    <row r="7" spans="4:9" ht="25.5">
      <c r="D7" s="217" t="s">
        <v>17</v>
      </c>
      <c r="E7" s="217"/>
      <c r="F7" s="17" t="s">
        <v>18</v>
      </c>
      <c r="G7" s="88" t="s">
        <v>19</v>
      </c>
      <c r="H7" s="19" t="s">
        <v>20</v>
      </c>
      <c r="I7" s="19" t="s">
        <v>21</v>
      </c>
    </row>
    <row r="8" spans="4:9" ht="12.75">
      <c r="D8" s="18">
        <v>2003</v>
      </c>
      <c r="E8" s="18"/>
      <c r="F8" s="17"/>
      <c r="G8" s="17"/>
      <c r="H8" s="19"/>
      <c r="I8" s="19"/>
    </row>
    <row r="9" spans="4:9" ht="12.75">
      <c r="D9" s="18" t="s">
        <v>22</v>
      </c>
      <c r="E9" s="18">
        <v>26</v>
      </c>
      <c r="F9" s="17" t="s">
        <v>23</v>
      </c>
      <c r="G9" s="17"/>
      <c r="H9" s="100"/>
      <c r="I9" s="104"/>
    </row>
    <row r="10" spans="4:9" ht="12.75">
      <c r="D10" s="18"/>
      <c r="E10" s="18"/>
      <c r="F10" s="87" t="s">
        <v>24</v>
      </c>
      <c r="G10" s="17"/>
      <c r="H10" s="100"/>
      <c r="I10" s="104"/>
    </row>
    <row r="11" spans="4:9" ht="12.75">
      <c r="D11" s="18"/>
      <c r="E11" s="18"/>
      <c r="F11" s="86" t="s">
        <v>25</v>
      </c>
      <c r="G11" s="17"/>
      <c r="H11" s="104"/>
      <c r="I11" s="100"/>
    </row>
    <row r="12" spans="4:9" ht="12.75">
      <c r="D12" s="18"/>
      <c r="E12" s="18"/>
      <c r="F12" s="86" t="s">
        <v>26</v>
      </c>
      <c r="G12" s="17"/>
      <c r="H12" s="104"/>
      <c r="I12" s="100"/>
    </row>
    <row r="13" spans="4:9" ht="25.5">
      <c r="D13" s="18"/>
      <c r="E13" s="18"/>
      <c r="F13" s="97" t="s">
        <v>27</v>
      </c>
      <c r="G13" s="17"/>
      <c r="H13" s="19"/>
      <c r="I13" s="19"/>
    </row>
  </sheetData>
  <mergeCells count="1">
    <mergeCell ref="D7:E7"/>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abColor indexed="10"/>
  </sheetPr>
  <dimension ref="A1:L99"/>
  <sheetViews>
    <sheetView zoomScale="70" zoomScaleNormal="70" workbookViewId="0" topLeftCell="A1">
      <selection activeCell="A1" sqref="A1"/>
    </sheetView>
  </sheetViews>
  <sheetFormatPr defaultColWidth="9.140625" defaultRowHeight="12.75"/>
  <cols>
    <col min="1" max="1" width="13.8515625" style="0" bestFit="1" customWidth="1"/>
    <col min="3" max="3" width="31.140625" style="0" bestFit="1" customWidth="1"/>
    <col min="4" max="5" width="10.57421875" style="0" bestFit="1" customWidth="1"/>
    <col min="6" max="6" width="18.140625" style="0" bestFit="1" customWidth="1"/>
    <col min="7" max="7" width="25.8515625" style="0" bestFit="1" customWidth="1"/>
    <col min="8" max="8" width="16.421875" style="0" customWidth="1"/>
    <col min="9" max="9" width="2.8515625" style="0" customWidth="1"/>
    <col min="10" max="10" width="20.140625" style="0" bestFit="1" customWidth="1"/>
    <col min="12" max="12" width="32.421875" style="0" bestFit="1" customWidth="1"/>
  </cols>
  <sheetData>
    <row r="1" spans="1:12" ht="15.75">
      <c r="A1" s="105" t="s">
        <v>114</v>
      </c>
      <c r="B1" s="105"/>
      <c r="C1" s="105"/>
      <c r="D1" s="105"/>
      <c r="E1" s="105"/>
      <c r="H1" s="106"/>
      <c r="J1" s="106"/>
      <c r="L1" s="106"/>
    </row>
    <row r="2" spans="1:12" ht="12.75">
      <c r="A2" s="107" t="s">
        <v>115</v>
      </c>
      <c r="B2" s="107" t="s">
        <v>116</v>
      </c>
      <c r="C2" s="107" t="s">
        <v>117</v>
      </c>
      <c r="D2" s="107" t="s">
        <v>38</v>
      </c>
      <c r="E2" s="107" t="s">
        <v>39</v>
      </c>
      <c r="H2" s="106"/>
      <c r="J2" s="106"/>
      <c r="L2" s="106"/>
    </row>
    <row r="3" spans="1:12" ht="12.75">
      <c r="A3" s="257" t="s">
        <v>28</v>
      </c>
      <c r="B3" s="108">
        <v>111</v>
      </c>
      <c r="C3" s="108" t="s">
        <v>23</v>
      </c>
      <c r="D3" s="109">
        <v>8740</v>
      </c>
      <c r="E3" s="110"/>
      <c r="H3" s="106"/>
      <c r="J3" s="106"/>
      <c r="L3" s="106"/>
    </row>
    <row r="4" spans="1:12" ht="12.75">
      <c r="A4" s="257"/>
      <c r="B4" s="108">
        <v>113</v>
      </c>
      <c r="C4" s="108" t="s">
        <v>118</v>
      </c>
      <c r="D4" s="111">
        <f>SUM(G54:G60)</f>
        <v>1650</v>
      </c>
      <c r="E4" s="110"/>
      <c r="H4" s="106"/>
      <c r="J4" s="106"/>
      <c r="L4" s="106"/>
    </row>
    <row r="5" spans="1:12" ht="12.75">
      <c r="A5" s="257"/>
      <c r="B5" s="108">
        <v>114</v>
      </c>
      <c r="C5" s="108" t="s">
        <v>119</v>
      </c>
      <c r="D5" s="109">
        <v>20584</v>
      </c>
      <c r="E5" s="110"/>
      <c r="H5" s="106"/>
      <c r="J5" s="106"/>
      <c r="L5" s="106"/>
    </row>
    <row r="6" spans="1:12" ht="12.75">
      <c r="A6" s="257"/>
      <c r="B6" s="108">
        <v>115</v>
      </c>
      <c r="C6" s="108" t="s">
        <v>120</v>
      </c>
      <c r="D6" s="109">
        <v>592</v>
      </c>
      <c r="E6" s="110"/>
      <c r="H6" s="106"/>
      <c r="J6" s="106"/>
      <c r="L6" s="106"/>
    </row>
    <row r="7" spans="1:12" ht="12.75">
      <c r="A7" s="257"/>
      <c r="B7" s="108">
        <v>116</v>
      </c>
      <c r="C7" s="108" t="s">
        <v>121</v>
      </c>
      <c r="D7" s="109">
        <v>390</v>
      </c>
      <c r="E7" s="110"/>
      <c r="H7" s="106"/>
      <c r="J7" s="106"/>
      <c r="L7" s="106"/>
    </row>
    <row r="8" spans="1:12" ht="12.75">
      <c r="A8" s="257"/>
      <c r="B8" s="108">
        <v>121</v>
      </c>
      <c r="C8" s="108" t="s">
        <v>122</v>
      </c>
      <c r="D8" s="109">
        <v>3644</v>
      </c>
      <c r="E8" s="110"/>
      <c r="H8" s="106"/>
      <c r="J8" s="106"/>
      <c r="L8" s="106"/>
    </row>
    <row r="9" spans="1:12" ht="12.75">
      <c r="A9" s="257" t="s">
        <v>30</v>
      </c>
      <c r="B9" s="108">
        <v>212</v>
      </c>
      <c r="C9" s="108" t="s">
        <v>123</v>
      </c>
      <c r="D9" s="110"/>
      <c r="E9" s="109">
        <f>SUM(K54:K60)</f>
        <v>600</v>
      </c>
      <c r="H9" s="106"/>
      <c r="J9" s="106"/>
      <c r="L9" s="106"/>
    </row>
    <row r="10" spans="1:12" ht="12.75">
      <c r="A10" s="257"/>
      <c r="B10" s="108">
        <v>215</v>
      </c>
      <c r="C10" s="108" t="s">
        <v>124</v>
      </c>
      <c r="D10" s="110"/>
      <c r="E10" s="110"/>
      <c r="H10" s="106"/>
      <c r="J10" s="106"/>
      <c r="L10" s="106"/>
    </row>
    <row r="11" spans="1:12" ht="12.75">
      <c r="A11" s="257"/>
      <c r="B11" s="108">
        <v>216</v>
      </c>
      <c r="C11" s="108" t="s">
        <v>125</v>
      </c>
      <c r="D11" s="110"/>
      <c r="E11" s="110"/>
      <c r="H11" s="106"/>
      <c r="J11" s="106"/>
      <c r="L11" s="106"/>
    </row>
    <row r="12" spans="1:12" ht="12.75">
      <c r="A12" s="257"/>
      <c r="B12" s="108">
        <v>217</v>
      </c>
      <c r="C12" s="108" t="s">
        <v>126</v>
      </c>
      <c r="D12" s="110"/>
      <c r="E12" s="110"/>
      <c r="H12" s="106"/>
      <c r="J12" s="106"/>
      <c r="L12" s="106"/>
    </row>
    <row r="13" spans="1:12" ht="12.75">
      <c r="A13" s="257"/>
      <c r="B13" s="108">
        <v>218</v>
      </c>
      <c r="C13" s="108" t="s">
        <v>127</v>
      </c>
      <c r="D13" s="110"/>
      <c r="E13" s="110"/>
      <c r="H13" s="106"/>
      <c r="J13" s="106"/>
      <c r="L13" s="106"/>
    </row>
    <row r="14" spans="1:12" ht="12.75">
      <c r="A14" s="257"/>
      <c r="B14" s="108">
        <v>219</v>
      </c>
      <c r="C14" s="108" t="s">
        <v>128</v>
      </c>
      <c r="D14" s="110"/>
      <c r="E14" s="110"/>
      <c r="H14" s="106"/>
      <c r="J14" s="106"/>
      <c r="L14" s="106"/>
    </row>
    <row r="15" spans="1:12" ht="12.75">
      <c r="A15" s="257" t="s">
        <v>129</v>
      </c>
      <c r="B15" s="108">
        <v>311</v>
      </c>
      <c r="C15" s="112" t="str">
        <f>LEFT($G$36,1)&amp;". "&amp;$G$35&amp;", Capital"</f>
        <v>J. Hammonds, Capital</v>
      </c>
      <c r="D15" s="110"/>
      <c r="E15" s="109">
        <f>SUM(D3:D8)-E9</f>
        <v>35000</v>
      </c>
      <c r="G15" s="113"/>
      <c r="H15" s="106"/>
      <c r="J15" s="106"/>
      <c r="L15" s="106"/>
    </row>
    <row r="16" spans="1:12" ht="12.75">
      <c r="A16" s="257"/>
      <c r="B16" s="108">
        <v>312</v>
      </c>
      <c r="C16" s="112" t="str">
        <f>LEFT($G$36,1)&amp;". "&amp;$G$35&amp;", Drawing"</f>
        <v>J. Hammonds, Drawing</v>
      </c>
      <c r="D16" s="110"/>
      <c r="E16" s="110"/>
      <c r="H16" s="106"/>
      <c r="J16" s="106"/>
      <c r="L16" s="106"/>
    </row>
    <row r="17" spans="1:12" ht="12.75">
      <c r="A17" s="257" t="s">
        <v>33</v>
      </c>
      <c r="B17" s="108">
        <v>411</v>
      </c>
      <c r="C17" s="108" t="s">
        <v>42</v>
      </c>
      <c r="D17" s="110"/>
      <c r="E17" s="110"/>
      <c r="H17" s="106"/>
      <c r="J17" s="106"/>
      <c r="L17" s="106"/>
    </row>
    <row r="18" spans="1:12" ht="12.75">
      <c r="A18" s="257"/>
      <c r="B18" s="108">
        <v>412</v>
      </c>
      <c r="C18" s="108" t="s">
        <v>130</v>
      </c>
      <c r="D18" s="110"/>
      <c r="E18" s="110"/>
      <c r="H18" s="106"/>
      <c r="J18" s="106"/>
      <c r="L18" s="106"/>
    </row>
    <row r="19" spans="1:12" ht="12.75">
      <c r="A19" s="257"/>
      <c r="B19" s="108">
        <v>413</v>
      </c>
      <c r="C19" s="108" t="s">
        <v>131</v>
      </c>
      <c r="D19" s="110"/>
      <c r="E19" s="110"/>
      <c r="H19" s="106"/>
      <c r="J19" s="106"/>
      <c r="L19" s="106"/>
    </row>
    <row r="20" spans="1:12" ht="12.75">
      <c r="A20" s="257" t="s">
        <v>35</v>
      </c>
      <c r="B20" s="108">
        <v>511</v>
      </c>
      <c r="C20" s="108" t="s">
        <v>43</v>
      </c>
      <c r="D20" s="110"/>
      <c r="E20" s="110"/>
      <c r="H20" s="106"/>
      <c r="J20" s="106"/>
      <c r="L20" s="106"/>
    </row>
    <row r="21" spans="1:12" ht="12.75">
      <c r="A21" s="257"/>
      <c r="B21" s="108">
        <v>512</v>
      </c>
      <c r="C21" s="108" t="s">
        <v>132</v>
      </c>
      <c r="D21" s="110"/>
      <c r="E21" s="110"/>
      <c r="H21" s="106"/>
      <c r="J21" s="106"/>
      <c r="L21" s="106"/>
    </row>
    <row r="22" spans="1:12" ht="12.75">
      <c r="A22" s="257"/>
      <c r="B22" s="108">
        <v>513</v>
      </c>
      <c r="C22" s="108" t="s">
        <v>133</v>
      </c>
      <c r="D22" s="110"/>
      <c r="E22" s="110"/>
      <c r="H22" s="106"/>
      <c r="J22" s="106"/>
      <c r="L22" s="106"/>
    </row>
    <row r="23" spans="1:12" ht="12.75">
      <c r="A23" s="257"/>
      <c r="B23" s="108">
        <v>514</v>
      </c>
      <c r="C23" s="108" t="s">
        <v>49</v>
      </c>
      <c r="D23" s="110"/>
      <c r="E23" s="110"/>
      <c r="H23" s="106"/>
      <c r="J23" s="106"/>
      <c r="L23" s="106"/>
    </row>
    <row r="24" spans="1:12" ht="12.75">
      <c r="A24" s="257"/>
      <c r="B24" s="108">
        <v>521</v>
      </c>
      <c r="C24" s="108" t="s">
        <v>134</v>
      </c>
      <c r="D24" s="110"/>
      <c r="E24" s="110"/>
      <c r="H24" s="106"/>
      <c r="J24" s="106"/>
      <c r="L24" s="106"/>
    </row>
    <row r="25" spans="1:12" ht="12.75">
      <c r="A25" s="257"/>
      <c r="B25" s="108">
        <v>522</v>
      </c>
      <c r="C25" s="108" t="s">
        <v>135</v>
      </c>
      <c r="D25" s="110"/>
      <c r="E25" s="110"/>
      <c r="H25" s="106"/>
      <c r="J25" s="106"/>
      <c r="L25" s="106"/>
    </row>
    <row r="26" spans="1:12" ht="12.75">
      <c r="A26" s="257"/>
      <c r="B26" s="108">
        <v>527</v>
      </c>
      <c r="C26" s="108" t="s">
        <v>136</v>
      </c>
      <c r="D26" s="110"/>
      <c r="E26" s="110"/>
      <c r="H26" s="106"/>
      <c r="J26" s="106"/>
      <c r="L26" s="106"/>
    </row>
    <row r="27" spans="1:12" ht="12.75">
      <c r="A27" s="257"/>
      <c r="B27" s="108">
        <v>531</v>
      </c>
      <c r="C27" s="108" t="s">
        <v>137</v>
      </c>
      <c r="D27" s="110"/>
      <c r="E27" s="110"/>
      <c r="H27" s="106"/>
      <c r="J27" s="106"/>
      <c r="L27" s="106"/>
    </row>
    <row r="28" spans="2:12" ht="13.5" thickBot="1">
      <c r="B28" s="114"/>
      <c r="D28" s="115">
        <f>SUM(D3:D27)</f>
        <v>35600</v>
      </c>
      <c r="E28" s="115">
        <f>SUM(E3:E27)</f>
        <v>35600</v>
      </c>
      <c r="H28" s="106"/>
      <c r="J28" s="106"/>
      <c r="L28" s="106"/>
    </row>
    <row r="29" spans="2:12" ht="13.5" thickTop="1">
      <c r="B29" s="114"/>
      <c r="D29" s="116"/>
      <c r="E29" s="116"/>
      <c r="F29" s="107" t="s">
        <v>138</v>
      </c>
      <c r="G29" s="117">
        <v>38718</v>
      </c>
      <c r="H29" s="106"/>
      <c r="J29" s="106"/>
      <c r="L29" s="106"/>
    </row>
    <row r="30" spans="2:12" ht="12.75">
      <c r="B30" s="114"/>
      <c r="D30" s="116"/>
      <c r="E30" s="116"/>
      <c r="F30" s="107" t="s">
        <v>139</v>
      </c>
      <c r="G30" s="118">
        <f>DATE(YEAR(G29),MONTH(G29)+1,1)-1</f>
        <v>38748</v>
      </c>
      <c r="H30" s="106"/>
      <c r="J30" s="106"/>
      <c r="L30" s="106"/>
    </row>
    <row r="31" spans="2:12" ht="12.75">
      <c r="B31" s="114"/>
      <c r="D31" s="116"/>
      <c r="E31" s="116"/>
      <c r="F31" s="107" t="s">
        <v>140</v>
      </c>
      <c r="G31" s="119" t="str">
        <f>TEXT($G$29,"yyyy")</f>
        <v>2006</v>
      </c>
      <c r="H31" s="106"/>
      <c r="J31" s="106"/>
      <c r="L31" s="106"/>
    </row>
    <row r="32" spans="2:12" ht="12.75">
      <c r="B32" s="114"/>
      <c r="D32" s="116"/>
      <c r="E32" s="116"/>
      <c r="F32" s="107" t="s">
        <v>141</v>
      </c>
      <c r="G32" s="119" t="str">
        <f>TEXT($G$29,"mmm.")</f>
        <v>Jan.</v>
      </c>
      <c r="H32" s="106"/>
      <c r="J32" s="106"/>
      <c r="L32" s="106"/>
    </row>
    <row r="33" spans="2:12" ht="12.75">
      <c r="B33" s="114"/>
      <c r="D33" s="116"/>
      <c r="E33" s="116"/>
      <c r="F33" s="107" t="s">
        <v>142</v>
      </c>
      <c r="G33" s="119" t="str">
        <f>TEXT($G$29,"d")</f>
        <v>1</v>
      </c>
      <c r="H33" s="106"/>
      <c r="J33" s="106"/>
      <c r="L33" s="106"/>
    </row>
    <row r="34" spans="6:12" ht="12.75">
      <c r="F34" s="107" t="s">
        <v>143</v>
      </c>
      <c r="G34" s="108" t="s">
        <v>144</v>
      </c>
      <c r="H34" s="106"/>
      <c r="J34" s="106"/>
      <c r="L34" s="106"/>
    </row>
    <row r="35" spans="6:12" ht="12.75">
      <c r="F35" s="107" t="s">
        <v>145</v>
      </c>
      <c r="G35" s="108" t="s">
        <v>146</v>
      </c>
      <c r="H35" s="106"/>
      <c r="J35" s="106"/>
      <c r="L35" s="106"/>
    </row>
    <row r="36" spans="6:12" ht="12.75">
      <c r="F36" s="107" t="s">
        <v>147</v>
      </c>
      <c r="G36" s="108" t="s">
        <v>148</v>
      </c>
      <c r="H36" s="106"/>
      <c r="J36" s="106"/>
      <c r="L36" s="106"/>
    </row>
    <row r="37" spans="6:12" ht="12.75">
      <c r="F37" s="107" t="s">
        <v>149</v>
      </c>
      <c r="G37" s="107" t="str">
        <f>G36&amp;" "&amp;G35</f>
        <v>Jay Hammonds</v>
      </c>
      <c r="H37" s="106"/>
      <c r="J37" s="106"/>
      <c r="L37" s="106"/>
    </row>
    <row r="38" spans="6:12" ht="12.75">
      <c r="F38" s="107" t="s">
        <v>150</v>
      </c>
      <c r="G38" s="107" t="str">
        <f>G37&amp;" "&amp;G34</f>
        <v>Jay Hammonds Auto Supply</v>
      </c>
      <c r="H38" s="106"/>
      <c r="J38" s="106"/>
      <c r="L38" s="106"/>
    </row>
    <row r="39" spans="6:12" ht="12.75">
      <c r="F39" s="120" t="s">
        <v>151</v>
      </c>
      <c r="G39" s="120" t="s">
        <v>152</v>
      </c>
      <c r="H39" s="106"/>
      <c r="J39" s="106"/>
      <c r="L39" s="106"/>
    </row>
    <row r="40" spans="6:12" ht="12.75">
      <c r="F40" s="107"/>
      <c r="G40" s="120" t="s">
        <v>153</v>
      </c>
      <c r="H40" s="106"/>
      <c r="J40" s="106"/>
      <c r="L40" s="106"/>
    </row>
    <row r="41" spans="6:12" ht="12.75">
      <c r="F41" s="107"/>
      <c r="G41" s="120" t="s">
        <v>154</v>
      </c>
      <c r="H41" s="106"/>
      <c r="J41" s="106"/>
      <c r="L41" s="106"/>
    </row>
    <row r="42" spans="6:12" ht="12.75">
      <c r="F42" s="107"/>
      <c r="G42" s="120" t="s">
        <v>155</v>
      </c>
      <c r="H42" s="106"/>
      <c r="J42" s="106"/>
      <c r="L42" s="106"/>
    </row>
    <row r="43" spans="6:12" ht="12.75">
      <c r="F43" s="108" t="s">
        <v>156</v>
      </c>
      <c r="G43" s="108" t="s">
        <v>157</v>
      </c>
      <c r="H43" s="106"/>
      <c r="J43" s="106"/>
      <c r="L43" s="106"/>
    </row>
    <row r="44" spans="6:12" ht="12.75">
      <c r="F44" s="107"/>
      <c r="G44" s="108" t="s">
        <v>158</v>
      </c>
      <c r="H44" s="106"/>
      <c r="J44" s="106"/>
      <c r="L44" s="106"/>
    </row>
    <row r="45" spans="6:12" ht="12.75">
      <c r="F45" s="107"/>
      <c r="G45" s="108" t="s">
        <v>159</v>
      </c>
      <c r="H45" s="106"/>
      <c r="J45" s="106"/>
      <c r="L45" s="106"/>
    </row>
    <row r="46" spans="6:12" ht="12.75">
      <c r="F46" s="107"/>
      <c r="G46" s="108" t="s">
        <v>160</v>
      </c>
      <c r="H46" s="106"/>
      <c r="J46" s="106"/>
      <c r="L46" s="106"/>
    </row>
    <row r="47" spans="6:12" ht="12.75">
      <c r="F47" s="107"/>
      <c r="G47" s="108" t="s">
        <v>161</v>
      </c>
      <c r="H47" s="106"/>
      <c r="J47" s="106"/>
      <c r="L47" s="106"/>
    </row>
    <row r="48" spans="6:12" ht="12.75">
      <c r="F48" s="107"/>
      <c r="G48" s="121" t="str">
        <f>CHAR(252)</f>
        <v>ü</v>
      </c>
      <c r="H48" s="106"/>
      <c r="J48" s="106"/>
      <c r="L48" s="106"/>
    </row>
    <row r="49" spans="6:12" ht="12.75">
      <c r="F49" s="107"/>
      <c r="G49" s="108" t="s">
        <v>223</v>
      </c>
      <c r="H49" s="106"/>
      <c r="J49" s="106"/>
      <c r="L49" s="106"/>
    </row>
    <row r="50" spans="6:12" ht="12.75">
      <c r="F50" s="107"/>
      <c r="G50" s="107"/>
      <c r="H50" s="106"/>
      <c r="J50" s="106"/>
      <c r="L50" s="106"/>
    </row>
    <row r="51" spans="6:12" ht="12.75">
      <c r="F51" s="107"/>
      <c r="G51" s="107"/>
      <c r="H51" s="106"/>
      <c r="J51" s="106"/>
      <c r="L51" s="106"/>
    </row>
    <row r="52" spans="8:12" ht="12.75">
      <c r="H52" s="106"/>
      <c r="J52" s="106"/>
      <c r="L52" s="106"/>
    </row>
    <row r="53" spans="7:12" ht="12.75">
      <c r="G53" s="122" t="s">
        <v>152</v>
      </c>
      <c r="H53" s="122" t="s">
        <v>162</v>
      </c>
      <c r="J53" s="122" t="s">
        <v>163</v>
      </c>
      <c r="K53" s="122" t="s">
        <v>152</v>
      </c>
      <c r="L53" s="106"/>
    </row>
    <row r="54" spans="7:12" ht="12.75">
      <c r="G54" s="107"/>
      <c r="H54" s="108" t="s">
        <v>164</v>
      </c>
      <c r="J54" s="108" t="s">
        <v>165</v>
      </c>
      <c r="K54" s="107"/>
      <c r="L54" s="106"/>
    </row>
    <row r="55" spans="7:12" ht="12.75">
      <c r="G55" s="107"/>
      <c r="H55" s="108" t="s">
        <v>166</v>
      </c>
      <c r="J55" s="108" t="s">
        <v>167</v>
      </c>
      <c r="K55" s="107"/>
      <c r="L55" s="106"/>
    </row>
    <row r="56" spans="7:12" ht="12.75">
      <c r="G56" s="107"/>
      <c r="H56" s="108" t="s">
        <v>168</v>
      </c>
      <c r="J56" s="108" t="s">
        <v>169</v>
      </c>
      <c r="K56" s="108">
        <v>600</v>
      </c>
      <c r="L56" s="106"/>
    </row>
    <row r="57" spans="7:12" ht="12.75">
      <c r="G57" s="108">
        <v>650</v>
      </c>
      <c r="H57" s="108" t="s">
        <v>170</v>
      </c>
      <c r="J57" s="108" t="s">
        <v>171</v>
      </c>
      <c r="K57" s="107"/>
      <c r="L57" s="106"/>
    </row>
    <row r="58" spans="7:12" ht="12.75">
      <c r="G58" s="108">
        <v>1000</v>
      </c>
      <c r="H58" s="108" t="s">
        <v>172</v>
      </c>
      <c r="J58" s="107"/>
      <c r="K58" s="107"/>
      <c r="L58" s="106"/>
    </row>
    <row r="59" spans="7:12" ht="12.75">
      <c r="G59" s="107"/>
      <c r="H59" s="107"/>
      <c r="J59" s="107"/>
      <c r="K59" s="107"/>
      <c r="L59" s="106"/>
    </row>
    <row r="60" spans="7:12" ht="12.75">
      <c r="G60" s="107"/>
      <c r="H60" s="107"/>
      <c r="J60" s="107"/>
      <c r="K60" s="107"/>
      <c r="L60" s="106"/>
    </row>
    <row r="61" ht="12.75">
      <c r="L61" s="122" t="s">
        <v>213</v>
      </c>
    </row>
    <row r="62" ht="12.75">
      <c r="L62" s="107" t="str">
        <f>C3</f>
        <v>Cash</v>
      </c>
    </row>
    <row r="63" ht="12.75">
      <c r="L63" s="107" t="str">
        <f aca="true" t="shared" si="0" ref="L63:L86">C4</f>
        <v>Accounts Receivable</v>
      </c>
    </row>
    <row r="64" ht="12.75">
      <c r="L64" s="107" t="str">
        <f t="shared" si="0"/>
        <v>Merchandise Inventory</v>
      </c>
    </row>
    <row r="65" ht="12.75">
      <c r="L65" s="107" t="str">
        <f t="shared" si="0"/>
        <v>Supplies</v>
      </c>
    </row>
    <row r="66" ht="12.75">
      <c r="L66" s="107" t="str">
        <f t="shared" si="0"/>
        <v>Prepaid Insurance</v>
      </c>
    </row>
    <row r="67" ht="12.75">
      <c r="L67" s="107" t="str">
        <f t="shared" si="0"/>
        <v>Equipment</v>
      </c>
    </row>
    <row r="68" ht="12.75">
      <c r="L68" s="107" t="str">
        <f t="shared" si="0"/>
        <v>Accounts Payable</v>
      </c>
    </row>
    <row r="69" ht="12.75">
      <c r="L69" s="107" t="str">
        <f t="shared" si="0"/>
        <v>Salaries Payable</v>
      </c>
    </row>
    <row r="70" ht="12.75">
      <c r="L70" s="107" t="str">
        <f t="shared" si="0"/>
        <v>Employees' Federal Tax Payable</v>
      </c>
    </row>
    <row r="71" ht="12.75">
      <c r="L71" s="107" t="str">
        <f t="shared" si="0"/>
        <v>FICA Payable</v>
      </c>
    </row>
    <row r="72" ht="12.75">
      <c r="L72" s="107" t="str">
        <f t="shared" si="0"/>
        <v>SUTA Payable</v>
      </c>
    </row>
    <row r="73" ht="12.75">
      <c r="L73" s="107" t="str">
        <f t="shared" si="0"/>
        <v>FUTA Payable</v>
      </c>
    </row>
    <row r="74" ht="12.75">
      <c r="L74" s="107" t="str">
        <f t="shared" si="0"/>
        <v>J. Hammonds, Capital</v>
      </c>
    </row>
    <row r="75" ht="12.75">
      <c r="L75" s="107" t="str">
        <f t="shared" si="0"/>
        <v>J. Hammonds, Drawing</v>
      </c>
    </row>
    <row r="76" ht="12.75">
      <c r="L76" s="107" t="str">
        <f t="shared" si="0"/>
        <v>Sales</v>
      </c>
    </row>
    <row r="77" ht="12.75">
      <c r="L77" s="107" t="str">
        <f t="shared" si="0"/>
        <v>Sales Returns and Allowances</v>
      </c>
    </row>
    <row r="78" ht="12.75">
      <c r="L78" s="107" t="str">
        <f t="shared" si="0"/>
        <v>Sales Discounts</v>
      </c>
    </row>
    <row r="79" ht="12.75">
      <c r="L79" s="107" t="str">
        <f t="shared" si="0"/>
        <v>Purchases</v>
      </c>
    </row>
    <row r="80" ht="12.75">
      <c r="L80" s="107" t="str">
        <f t="shared" si="0"/>
        <v>Purchases Returns and Allowances</v>
      </c>
    </row>
    <row r="81" ht="12.75">
      <c r="L81" s="107" t="str">
        <f t="shared" si="0"/>
        <v>Purchases Discounts</v>
      </c>
    </row>
    <row r="82" ht="12.75">
      <c r="L82" s="107" t="str">
        <f t="shared" si="0"/>
        <v>Freight In</v>
      </c>
    </row>
    <row r="83" ht="12.75">
      <c r="L83" s="107" t="str">
        <f t="shared" si="0"/>
        <v>Salaries Expense</v>
      </c>
    </row>
    <row r="84" ht="12.75">
      <c r="L84" s="107" t="str">
        <f t="shared" si="0"/>
        <v>Payroll Tax Expense</v>
      </c>
    </row>
    <row r="85" ht="12.75">
      <c r="L85" s="107" t="str">
        <f t="shared" si="0"/>
        <v>Rent Expense</v>
      </c>
    </row>
    <row r="86" ht="12.75">
      <c r="L86" s="107" t="str">
        <f t="shared" si="0"/>
        <v>Miscellaneous Expense</v>
      </c>
    </row>
    <row r="87" ht="12.75">
      <c r="L87" s="107" t="str">
        <f>H54</f>
        <v>Bryan Supply</v>
      </c>
    </row>
    <row r="88" ht="12.75">
      <c r="L88" s="107" t="str">
        <f>H55</f>
        <v>English and Cole</v>
      </c>
    </row>
    <row r="89" ht="12.75">
      <c r="L89" s="107" t="str">
        <f>H56</f>
        <v>L. Parker</v>
      </c>
    </row>
    <row r="90" ht="12.75">
      <c r="L90" s="107" t="str">
        <f>H57</f>
        <v>Peterson, Inc.</v>
      </c>
    </row>
    <row r="91" ht="12.75">
      <c r="L91" s="107" t="str">
        <f>H58</f>
        <v>Vessey Appliance</v>
      </c>
    </row>
    <row r="92" ht="12.75">
      <c r="L92" s="107" t="str">
        <f>J54</f>
        <v>Crosby Products</v>
      </c>
    </row>
    <row r="93" ht="12.75">
      <c r="L93" s="107" t="str">
        <f>J55</f>
        <v>Duncan Office Supply</v>
      </c>
    </row>
    <row r="94" ht="12.75">
      <c r="L94" s="107" t="str">
        <f>J56</f>
        <v>Franklin and Son</v>
      </c>
    </row>
    <row r="95" ht="12.75">
      <c r="L95" s="107" t="str">
        <f>J57</f>
        <v>Vaughn and Company</v>
      </c>
    </row>
    <row r="96" ht="12.75">
      <c r="L96" s="107" t="s">
        <v>222</v>
      </c>
    </row>
    <row r="97" ht="12.75">
      <c r="L97" s="107"/>
    </row>
    <row r="98" ht="12.75">
      <c r="L98" s="107"/>
    </row>
    <row r="99" ht="12.75">
      <c r="L99" s="107"/>
    </row>
  </sheetData>
  <mergeCells count="5">
    <mergeCell ref="A20:A27"/>
    <mergeCell ref="A3:A8"/>
    <mergeCell ref="A9:A14"/>
    <mergeCell ref="A15:A16"/>
    <mergeCell ref="A17:A19"/>
  </mergeCells>
  <printOptions/>
  <pageMargins left="0.75" right="0.75" top="1" bottom="1" header="0.5" footer="0.5"/>
  <pageSetup horizontalDpi="300" verticalDpi="300" orientation="portrait" r:id="rId1"/>
</worksheet>
</file>

<file path=xl/worksheets/sheet11.xml><?xml version="1.0" encoding="utf-8"?>
<worksheet xmlns="http://schemas.openxmlformats.org/spreadsheetml/2006/main" xmlns:r="http://schemas.openxmlformats.org/officeDocument/2006/relationships">
  <sheetPr>
    <tabColor indexed="12"/>
  </sheetPr>
  <dimension ref="B1:R34"/>
  <sheetViews>
    <sheetView zoomScale="66" zoomScaleNormal="66" workbookViewId="0" topLeftCell="A1">
      <pane xSplit="3" ySplit="1" topLeftCell="E5" activePane="bottomRight" state="frozen"/>
      <selection pane="topLeft" activeCell="D29" sqref="D29:F30"/>
      <selection pane="topRight" activeCell="D29" sqref="D29:F30"/>
      <selection pane="bottomLeft" activeCell="D29" sqref="D29:F30"/>
      <selection pane="bottomRight" activeCell="C29" sqref="C29"/>
    </sheetView>
  </sheetViews>
  <sheetFormatPr defaultColWidth="9.140625" defaultRowHeight="12.75"/>
  <cols>
    <col min="1" max="1" width="2.140625" style="0" customWidth="1"/>
    <col min="2" max="2" width="10.8515625" style="0" customWidth="1"/>
    <col min="3" max="3" width="115.57421875" style="172" customWidth="1"/>
    <col min="4" max="4" width="55.8515625" style="0" customWidth="1"/>
    <col min="5" max="9" width="14.28125" style="0" customWidth="1"/>
    <col min="10" max="10" width="16.28125" style="0" bestFit="1" customWidth="1"/>
    <col min="11" max="11" width="19.57421875" style="0" bestFit="1" customWidth="1"/>
    <col min="12" max="12" width="21.00390625" style="0" bestFit="1" customWidth="1"/>
    <col min="13" max="14" width="14.28125" style="0" customWidth="1"/>
    <col min="15" max="15" width="15.421875" style="0" bestFit="1" customWidth="1"/>
    <col min="16" max="16384" width="14.28125" style="0" customWidth="1"/>
  </cols>
  <sheetData>
    <row r="1" spans="2:16" ht="12.75">
      <c r="B1" s="206" t="s">
        <v>17</v>
      </c>
      <c r="C1" s="207" t="s">
        <v>18</v>
      </c>
      <c r="E1" s="206" t="s">
        <v>17</v>
      </c>
      <c r="F1" s="208" t="s">
        <v>240</v>
      </c>
      <c r="G1" s="206" t="s">
        <v>241</v>
      </c>
      <c r="H1" s="206" t="s">
        <v>242</v>
      </c>
      <c r="I1" s="206" t="s">
        <v>243</v>
      </c>
      <c r="J1" s="206" t="s">
        <v>55</v>
      </c>
      <c r="K1" s="206" t="s">
        <v>244</v>
      </c>
      <c r="L1" s="206" t="s">
        <v>245</v>
      </c>
      <c r="M1" s="206" t="s">
        <v>184</v>
      </c>
      <c r="N1" s="206" t="s">
        <v>246</v>
      </c>
      <c r="O1" s="210" t="s">
        <v>53</v>
      </c>
      <c r="P1" s="209" t="s">
        <v>52</v>
      </c>
    </row>
    <row r="2" spans="2:16" ht="12.75">
      <c r="B2" s="118">
        <f>E2</f>
        <v>38719</v>
      </c>
      <c r="C2" s="212" t="str">
        <f>Assumptions!G38&amp;" paid rent for the month ("&amp;DOLLAR(G2)&amp;"), "&amp;F1&amp;" "&amp;F2&amp;"."</f>
        <v>Jay Hammonds Auto Supply paid rent for the month ($600.00), Check # 6981.</v>
      </c>
      <c r="E2" s="213">
        <f>R32</f>
        <v>38719</v>
      </c>
      <c r="F2" s="112">
        <f>R33</f>
        <v>6981</v>
      </c>
      <c r="G2" s="109">
        <v>600</v>
      </c>
      <c r="H2" s="111"/>
      <c r="I2" s="111"/>
      <c r="J2" s="112"/>
      <c r="K2" s="112"/>
      <c r="L2" s="112"/>
      <c r="M2" s="112"/>
      <c r="N2" s="112"/>
      <c r="O2" s="211"/>
      <c r="P2" s="211"/>
    </row>
    <row r="3" spans="2:16" ht="12.75">
      <c r="B3" s="118">
        <f aca="true" t="shared" si="0" ref="B3:B26">E3</f>
        <v>38719</v>
      </c>
      <c r="C3" s="212" t="str">
        <f>O3&amp;" (owner) invested an additional amount of cash equal to "&amp;DOLLAR(G3)&amp;"."</f>
        <v>Jay Hammonds (owner) invested an additional amount of cash equal to $2,200.00.</v>
      </c>
      <c r="E3" s="213">
        <f>E2</f>
        <v>38719</v>
      </c>
      <c r="F3" s="112"/>
      <c r="G3" s="109">
        <v>2200</v>
      </c>
      <c r="H3" s="111"/>
      <c r="I3" s="111"/>
      <c r="J3" s="112"/>
      <c r="K3" s="112"/>
      <c r="L3" s="112"/>
      <c r="M3" s="112"/>
      <c r="N3" s="112"/>
      <c r="O3" s="211" t="str">
        <f>Assumptions!G37</f>
        <v>Jay Hammonds</v>
      </c>
      <c r="P3" s="211"/>
    </row>
    <row r="4" spans="2:16" ht="25.5">
      <c r="B4" s="118">
        <f t="shared" si="0"/>
        <v>38721</v>
      </c>
      <c r="C4" s="212" t="str">
        <f>"Bought "&amp;DOLLAR(G4)&amp;" of merchandise on account from "&amp;K4&amp;". "&amp;$N$1&amp;" is "&amp;TEXT(N4,"mm/d/yy")&amp;", "&amp;$P$1&amp;" is "&amp;P4&amp;", "&amp;LOWER($M$1)&amp;" are "&amp;M4&amp;"."</f>
        <v>Bought $2,840.00 of merchandise on account from Vaughn and Company. Invoice Date is 01/2/06, Invoice No. is A691, terms are 2/10,N/30.</v>
      </c>
      <c r="E4" s="213">
        <f>E3+2</f>
        <v>38721</v>
      </c>
      <c r="F4" s="112"/>
      <c r="G4" s="109">
        <v>2840</v>
      </c>
      <c r="H4" s="111"/>
      <c r="I4" s="111"/>
      <c r="J4" s="112"/>
      <c r="K4" s="112" t="str">
        <f>Assumptions!J57</f>
        <v>Vaughn and Company</v>
      </c>
      <c r="L4" s="112"/>
      <c r="M4" s="108" t="s">
        <v>250</v>
      </c>
      <c r="N4" s="213">
        <f>E4-2</f>
        <v>38719</v>
      </c>
      <c r="O4" s="211"/>
      <c r="P4" s="214" t="s">
        <v>215</v>
      </c>
    </row>
    <row r="5" spans="2:16" ht="25.5">
      <c r="B5" s="118">
        <f t="shared" si="0"/>
        <v>38721</v>
      </c>
      <c r="C5" s="212" t="str">
        <f>Assumptions!G38&amp;" received check from "&amp;J5&amp;" for "&amp;DOLLAR(H5)&amp;" in payment of an invoice less discount. The original invoice amount was "&amp;DOLLAR(G5)&amp;"."</f>
        <v>Jay Hammonds Auto Supply received check from Vessey Appliance for $980.00 in payment of an invoice less discount. The original invoice amount was $1,000.00.</v>
      </c>
      <c r="E5" s="213">
        <f>E4</f>
        <v>38721</v>
      </c>
      <c r="F5" s="112"/>
      <c r="G5" s="109">
        <v>1000</v>
      </c>
      <c r="H5" s="109">
        <v>980</v>
      </c>
      <c r="I5" s="109">
        <f>G5-H5</f>
        <v>20</v>
      </c>
      <c r="J5" s="112" t="str">
        <f>Assumptions!H58</f>
        <v>Vessey Appliance</v>
      </c>
      <c r="K5" s="112"/>
      <c r="L5" s="112"/>
      <c r="M5" s="112"/>
      <c r="N5" s="112"/>
      <c r="O5" s="211"/>
      <c r="P5" s="211"/>
    </row>
    <row r="6" spans="2:16" ht="12.75">
      <c r="B6" s="118">
        <f t="shared" si="0"/>
        <v>38721</v>
      </c>
      <c r="C6" s="212" t="str">
        <f>"Sold merchandise on account to "&amp;J6&amp;" for "&amp;DOLLAR(G6)&amp;", "&amp;P1&amp;" "&amp;P6&amp;"."</f>
        <v>Sold merchandise on account to L. Parker for $750.00, Invoice No. 6483.</v>
      </c>
      <c r="E6" s="213">
        <f>E5</f>
        <v>38721</v>
      </c>
      <c r="F6" s="112"/>
      <c r="G6" s="109">
        <v>750</v>
      </c>
      <c r="H6" s="111"/>
      <c r="I6" s="111"/>
      <c r="J6" s="112" t="str">
        <f>Assumptions!H56</f>
        <v>L. Parker</v>
      </c>
      <c r="K6" s="112"/>
      <c r="L6" s="112"/>
      <c r="M6" s="112"/>
      <c r="N6" s="112"/>
      <c r="O6" s="211"/>
      <c r="P6" s="211">
        <f>R34</f>
        <v>6483</v>
      </c>
    </row>
    <row r="7" spans="2:16" ht="12.75">
      <c r="B7" s="118">
        <f t="shared" si="0"/>
        <v>38723</v>
      </c>
      <c r="C7" s="212" t="str">
        <f>Assumptions!G38&amp;" received check from "&amp;J7&amp;" for "&amp;DOLLAR(H7)&amp;" in payment of an invoice original posted for "&amp;DOLLAR(G7)&amp;"."</f>
        <v>Jay Hammonds Auto Supply received check from Peterson, Inc. for $637.00 in payment of an invoice original posted for $650.00.</v>
      </c>
      <c r="E7" s="213">
        <f>E6+2</f>
        <v>38723</v>
      </c>
      <c r="F7" s="112"/>
      <c r="G7" s="109">
        <v>650</v>
      </c>
      <c r="H7" s="109">
        <v>637</v>
      </c>
      <c r="I7" s="111">
        <f>G7-H7</f>
        <v>13</v>
      </c>
      <c r="J7" s="112" t="str">
        <f>Assumptions!H57</f>
        <v>Peterson, Inc.</v>
      </c>
      <c r="K7" s="112"/>
      <c r="L7" s="112"/>
      <c r="M7" s="112"/>
      <c r="N7" s="112"/>
      <c r="O7" s="211"/>
      <c r="P7" s="211"/>
    </row>
    <row r="8" spans="2:16" ht="25.5">
      <c r="B8" s="118">
        <f t="shared" si="0"/>
        <v>38724</v>
      </c>
      <c r="C8" s="212" t="str">
        <f>"Issued check to "&amp;K8&amp;" ("&amp;F1&amp;" "&amp;F8&amp;") for "&amp;DOLLAR(G8)&amp;" for payment on an invoice # "&amp;P8&amp;" which had an amount due of "&amp;DOLLAR(H8)&amp;". (We took the discount!)."</f>
        <v>Issued check to Franklin and Son (Check # 6982) for $490.00 for payment on an invoice # C1272 which had an amount due of $500.00. (We took the discount!).</v>
      </c>
      <c r="E8" s="213">
        <f>E7+1</f>
        <v>38724</v>
      </c>
      <c r="F8" s="112">
        <f>F2+1</f>
        <v>6982</v>
      </c>
      <c r="G8" s="109">
        <v>490</v>
      </c>
      <c r="H8" s="109">
        <v>500</v>
      </c>
      <c r="I8" s="111">
        <f>H8-G8</f>
        <v>10</v>
      </c>
      <c r="J8" s="112"/>
      <c r="K8" s="112" t="str">
        <f>Assumptions!J56</f>
        <v>Franklin and Son</v>
      </c>
      <c r="L8" s="112"/>
      <c r="M8" s="112"/>
      <c r="N8" s="112"/>
      <c r="O8" s="211"/>
      <c r="P8" s="214" t="s">
        <v>252</v>
      </c>
    </row>
    <row r="9" spans="2:16" ht="25.5">
      <c r="B9" s="118">
        <f t="shared" si="0"/>
        <v>38724</v>
      </c>
      <c r="C9" s="212" t="str">
        <f>"Bought "&amp;DOLLAR(H9)&amp;" worth of supplies on account from "&amp;K9&amp;" ("&amp;P1&amp;" = "&amp;P9&amp;", "&amp;M1&amp;" = "&amp;M9&amp;". Debit the asset account "&amp;Assumptions!C6&amp;" (the supplies will not be used up this period)."</f>
        <v>Bought $98.00 worth of supplies on account from Duncan Office Supply (Invoice No. = 1906B, Terms = Net 30. Debit the asset account Supplies (the supplies will not be used up this period).</v>
      </c>
      <c r="E9" s="213">
        <f>E8</f>
        <v>38724</v>
      </c>
      <c r="F9" s="112"/>
      <c r="G9" s="111"/>
      <c r="H9" s="109">
        <v>98</v>
      </c>
      <c r="I9" s="111"/>
      <c r="J9" s="112"/>
      <c r="K9" s="112" t="str">
        <f>Assumptions!J55</f>
        <v>Duncan Office Supply</v>
      </c>
      <c r="L9" s="112"/>
      <c r="M9" s="108" t="s">
        <v>254</v>
      </c>
      <c r="N9" s="112"/>
      <c r="O9" s="211"/>
      <c r="P9" s="214" t="s">
        <v>253</v>
      </c>
    </row>
    <row r="10" spans="2:16" ht="12.75">
      <c r="B10" s="118">
        <f t="shared" si="0"/>
        <v>38724</v>
      </c>
      <c r="C10" s="212" t="str">
        <f>"Sold merchandise on account to "&amp;J10&amp;" for "&amp;DOLLAR(G10)&amp;", "&amp;P5&amp;" ("&amp;$P$1&amp;" "&amp;P10&amp;".)"</f>
        <v>Sold merchandise on account to English and Cole for $890.00,  (Invoice No. 6484.)</v>
      </c>
      <c r="E10" s="213">
        <f>E9</f>
        <v>38724</v>
      </c>
      <c r="F10" s="112"/>
      <c r="G10" s="109">
        <v>890</v>
      </c>
      <c r="H10" s="111"/>
      <c r="I10" s="111"/>
      <c r="J10" s="112" t="str">
        <f>Assumptions!H55</f>
        <v>English and Cole</v>
      </c>
      <c r="K10" s="112"/>
      <c r="L10" s="112"/>
      <c r="M10" s="112"/>
      <c r="N10" s="112"/>
      <c r="O10" s="211"/>
      <c r="P10" s="211">
        <f>P6+1</f>
        <v>6484</v>
      </c>
    </row>
    <row r="11" spans="2:16" ht="12.75">
      <c r="B11" s="118">
        <f t="shared" si="0"/>
        <v>38726</v>
      </c>
      <c r="C11" s="212" t="str">
        <f>"Issued "&amp;DOLLAR(G11)&amp;" Credit Memo # "&amp;P11&amp;" to "&amp;J11&amp;" for merchandise returned."</f>
        <v>Issued $50.00 Credit Memo # 43 to L. Parker for merchandise returned.</v>
      </c>
      <c r="E11" s="213">
        <f>E10+2</f>
        <v>38726</v>
      </c>
      <c r="F11" s="112"/>
      <c r="G11" s="109">
        <v>50</v>
      </c>
      <c r="H11" s="111"/>
      <c r="I11" s="111"/>
      <c r="J11" s="112" t="str">
        <f>Assumptions!H56</f>
        <v>L. Parker</v>
      </c>
      <c r="K11" s="112"/>
      <c r="L11" s="112"/>
      <c r="M11" s="112"/>
      <c r="N11" s="112"/>
      <c r="O11" s="211"/>
      <c r="P11" s="214">
        <v>43</v>
      </c>
    </row>
    <row r="12" spans="2:16" ht="12.75">
      <c r="B12" s="118">
        <f t="shared" si="0"/>
        <v>38728</v>
      </c>
      <c r="C12" s="212" t="str">
        <f>"Record the "&amp;DOLLAR(G12)&amp;" cash sales for "&amp;TEXT(Assumptions!$G$29,"m/d/y")&amp;" to "&amp;TEXT(Assumptions!$G$29+9,"m/d/y")&amp;"."</f>
        <v>Record the $4,514.00 cash sales for 1/1/06 to 1/10/06.</v>
      </c>
      <c r="E12" s="213">
        <f>E11+2</f>
        <v>38728</v>
      </c>
      <c r="F12" s="112"/>
      <c r="G12" s="109">
        <v>4514</v>
      </c>
      <c r="H12" s="111"/>
      <c r="I12" s="111"/>
      <c r="J12" s="112"/>
      <c r="K12" s="112" t="str">
        <f>Assumptions!J57</f>
        <v>Vaughn and Company</v>
      </c>
      <c r="L12" s="112"/>
      <c r="M12" s="112"/>
      <c r="N12" s="112"/>
      <c r="O12" s="211"/>
      <c r="P12" s="211"/>
    </row>
    <row r="13" spans="2:16" ht="12.75">
      <c r="B13" s="118">
        <f t="shared" si="0"/>
        <v>38728</v>
      </c>
      <c r="C13" s="212" t="str">
        <f>"Wrote check (# "&amp;F13&amp;") payable to "&amp;K12&amp;" for "&amp;DOLLAR(G13)&amp;". The original invoice was for "&amp;DOLLAR(H13)&amp;" (we took the discount!)."</f>
        <v>Wrote check (# 6983) payable to Vaughn and Company for $2,783.20. The original invoice was for $2,840.00 (we took the discount!).</v>
      </c>
      <c r="E13" s="213">
        <f>E12</f>
        <v>38728</v>
      </c>
      <c r="F13" s="112">
        <f>F8+1</f>
        <v>6983</v>
      </c>
      <c r="G13" s="109">
        <v>2783.2</v>
      </c>
      <c r="H13" s="109">
        <v>2840</v>
      </c>
      <c r="I13" s="111">
        <f>H13-G13</f>
        <v>56.80000000000018</v>
      </c>
      <c r="J13" s="112"/>
      <c r="K13" s="112"/>
      <c r="L13" s="112"/>
      <c r="M13" s="112"/>
      <c r="N13" s="112"/>
      <c r="O13" s="211"/>
      <c r="P13" s="211"/>
    </row>
    <row r="14" spans="2:16" ht="12.75">
      <c r="B14" s="118">
        <f t="shared" si="0"/>
        <v>38731</v>
      </c>
      <c r="C14" s="212" t="str">
        <f>"Sold merchandise on account to "&amp;J14&amp;" for "&amp;DOLLAR(G14)&amp;", "&amp;P9&amp;" ("&amp;$P$1&amp;" "&amp;P14&amp;".)"</f>
        <v>Sold merchandise on account to Vessey Appliance for $1,950.00, 1906B (Invoice No. 6485.)</v>
      </c>
      <c r="E14" s="213">
        <f>E13+3</f>
        <v>38731</v>
      </c>
      <c r="F14" s="112"/>
      <c r="G14" s="109">
        <v>1950</v>
      </c>
      <c r="H14" s="111"/>
      <c r="I14" s="111"/>
      <c r="J14" s="112" t="str">
        <f>Assumptions!H58</f>
        <v>Vessey Appliance</v>
      </c>
      <c r="K14" s="112"/>
      <c r="L14" s="112"/>
      <c r="M14" s="112"/>
      <c r="N14" s="112"/>
      <c r="O14" s="211"/>
      <c r="P14" s="211">
        <f>P10+1</f>
        <v>6485</v>
      </c>
    </row>
    <row r="15" spans="2:16" ht="25.5">
      <c r="B15" s="118">
        <f t="shared" si="0"/>
        <v>38735</v>
      </c>
      <c r="C15" s="212" t="str">
        <f>"Bought "&amp;DOLLAR(G15)&amp;" of merchandise on account from "&amp;K15&amp;". "&amp;$N$1&amp;" is "&amp;TEXT(N15,"mm/d/yy")&amp;", "&amp;$P$1&amp;" is "&amp;P15&amp;", "&amp;LOWER($M$1)&amp;" are "&amp;M15&amp;". The invoice listed the prepaid shipping ("&amp;DOLLAR(H15)&amp;") that was added to the invoice (account to DR is "&amp;Assumptions!C23&amp;")."</f>
        <v>Bought $4,780.00 of merchandise on account from Crosby Products. Invoice Date is 01/16/06, Invoice No. is 7281D, terms are 2/10,N/60. The invoice listed the prepaid shipping ($150.00) that was added to the invoice (account to DR is Freight In).</v>
      </c>
      <c r="E15" s="213">
        <f>E14+4</f>
        <v>38735</v>
      </c>
      <c r="F15" s="112"/>
      <c r="G15" s="109">
        <v>4780</v>
      </c>
      <c r="H15" s="109">
        <v>150</v>
      </c>
      <c r="I15" s="111"/>
      <c r="J15" s="112"/>
      <c r="K15" s="112" t="str">
        <f>Assumptions!J54</f>
        <v>Crosby Products</v>
      </c>
      <c r="L15" s="112"/>
      <c r="M15" s="108" t="s">
        <v>255</v>
      </c>
      <c r="N15" s="213">
        <f>E15-2</f>
        <v>38733</v>
      </c>
      <c r="O15" s="211"/>
      <c r="P15" s="214" t="s">
        <v>225</v>
      </c>
    </row>
    <row r="16" spans="2:16" ht="12.75">
      <c r="B16" s="118">
        <f t="shared" si="0"/>
        <v>38738</v>
      </c>
      <c r="C16" s="212" t="str">
        <f>"Issued "&amp;F1&amp;" "&amp;F16&amp;" for "&amp;DOLLAR(G16)&amp;", payable to "&amp;O16&amp;" ("&amp;L16&amp;")."</f>
        <v>Issued Check # 6984 for $282.00, payable to The Shopper (Miscellaneous Expense).</v>
      </c>
      <c r="E16" s="213">
        <f>E15+3</f>
        <v>38738</v>
      </c>
      <c r="F16" s="112">
        <f>F13+1</f>
        <v>6984</v>
      </c>
      <c r="G16" s="109">
        <v>282</v>
      </c>
      <c r="H16" s="111"/>
      <c r="I16" s="111"/>
      <c r="J16" s="112"/>
      <c r="K16" s="112"/>
      <c r="L16" s="112" t="str">
        <f>Assumptions!C27</f>
        <v>Miscellaneous Expense</v>
      </c>
      <c r="M16" s="112"/>
      <c r="N16" s="112"/>
      <c r="O16" s="214" t="s">
        <v>256</v>
      </c>
      <c r="P16" s="211"/>
    </row>
    <row r="17" spans="2:16" ht="12.75">
      <c r="B17" s="118">
        <f t="shared" si="0"/>
        <v>38738</v>
      </c>
      <c r="C17" s="212" t="str">
        <f>"Record the "&amp;DOLLAR(G17)&amp;" cash sales for "&amp;TEXT(Assumptions!$G$29+10,"m/d/y")&amp;" to "&amp;TEXT(Assumptions!$G$29+19,"m/d/y")&amp;"."</f>
        <v>Record the $3,990.00 cash sales for 1/11/06 to 1/20/06.</v>
      </c>
      <c r="E17" s="213">
        <f>E16</f>
        <v>38738</v>
      </c>
      <c r="F17" s="112"/>
      <c r="G17" s="109">
        <v>3990</v>
      </c>
      <c r="H17" s="111"/>
      <c r="I17" s="111"/>
      <c r="J17" s="112"/>
      <c r="K17" s="112"/>
      <c r="L17" s="112"/>
      <c r="M17" s="112"/>
      <c r="N17" s="112"/>
      <c r="O17" s="211"/>
      <c r="P17" s="211"/>
    </row>
    <row r="18" spans="2:16" ht="12.75">
      <c r="B18" s="118">
        <f t="shared" si="0"/>
        <v>38740</v>
      </c>
      <c r="C18" s="212" t="str">
        <f>"Received and paid invoice from "&amp;O18&amp;" (check # "&amp;F18&amp;" for "&amp;DOLLAR(G18)&amp;") for the merchandise received on "&amp;TEXT(E4,"m/d/y")</f>
        <v>Received and paid invoice from Ball Fast Freight (check # 6985 for $150.00) for the merchandise received on 1/4/06</v>
      </c>
      <c r="E18" s="213">
        <f>E17+2</f>
        <v>38740</v>
      </c>
      <c r="F18" s="112">
        <f>F16+1</f>
        <v>6985</v>
      </c>
      <c r="G18" s="109">
        <v>150</v>
      </c>
      <c r="H18" s="111"/>
      <c r="I18" s="111"/>
      <c r="J18" s="112"/>
      <c r="K18" s="112"/>
      <c r="L18" s="112"/>
      <c r="M18" s="112"/>
      <c r="N18" s="112"/>
      <c r="O18" s="214" t="s">
        <v>257</v>
      </c>
      <c r="P18" s="211"/>
    </row>
    <row r="19" spans="2:16" ht="12.75">
      <c r="B19" s="118">
        <f t="shared" si="0"/>
        <v>38740</v>
      </c>
      <c r="C19" s="212" t="str">
        <f>"Received credit memo from "&amp;Assumptions!J54&amp;" (#"&amp;P19&amp;") for "&amp;DOLLAR(G19)&amp;" for merchandise we returned to them because of blemishes."</f>
        <v>Received credit memo from Crosby Products (#163) for $425.00 for merchandise we returned to them because of blemishes.</v>
      </c>
      <c r="E19" s="213">
        <f>E18</f>
        <v>38740</v>
      </c>
      <c r="F19" s="112"/>
      <c r="G19" s="109">
        <v>425</v>
      </c>
      <c r="H19" s="111"/>
      <c r="I19" s="111"/>
      <c r="J19" s="112"/>
      <c r="K19" s="112"/>
      <c r="L19" s="112"/>
      <c r="M19" s="112"/>
      <c r="N19" s="112"/>
      <c r="O19" s="211"/>
      <c r="P19" s="214">
        <v>163</v>
      </c>
    </row>
    <row r="20" spans="2:16" ht="12.75">
      <c r="B20" s="118">
        <f t="shared" si="0"/>
        <v>38746</v>
      </c>
      <c r="C20" s="212" t="str">
        <f>"Sold merchandise on account to "&amp;J20&amp;" for "&amp;DOLLAR(G20)&amp;", "&amp;$P$1&amp;" "&amp;P20&amp;"."</f>
        <v>Sold merchandise on account to Bryan Supply for $1,940.00, Invoice No. 6486.</v>
      </c>
      <c r="E20" s="213">
        <f>E19+6</f>
        <v>38746</v>
      </c>
      <c r="F20" s="112"/>
      <c r="G20" s="109">
        <v>1940</v>
      </c>
      <c r="H20" s="111"/>
      <c r="I20" s="111"/>
      <c r="J20" s="112" t="str">
        <f>Assumptions!H54</f>
        <v>Bryan Supply</v>
      </c>
      <c r="K20" s="112"/>
      <c r="L20" s="112"/>
      <c r="M20" s="112"/>
      <c r="N20" s="112"/>
      <c r="O20" s="211"/>
      <c r="P20" s="211">
        <v>6486</v>
      </c>
    </row>
    <row r="21" spans="2:16" ht="12.75">
      <c r="B21" s="118">
        <f t="shared" si="0"/>
        <v>38748</v>
      </c>
      <c r="C21" s="212" t="str">
        <f>"Record the "&amp;DOLLAR(G21)&amp;" cash sales for "&amp;TEXT(Assumptions!$G$29+19,"m/d/y")&amp;" to "&amp;TEXT(Assumptions!$G$29+30,"m/d/y")&amp;"."</f>
        <v>Record the $4,428.00 cash sales for 1/20/06 to 1/31/06.</v>
      </c>
      <c r="E21" s="213">
        <f>E20+2</f>
        <v>38748</v>
      </c>
      <c r="F21" s="112"/>
      <c r="G21" s="109">
        <v>4428</v>
      </c>
      <c r="H21" s="111"/>
      <c r="I21" s="111"/>
      <c r="J21" s="112"/>
      <c r="K21" s="112"/>
      <c r="L21" s="112"/>
      <c r="M21" s="112"/>
      <c r="N21" s="112"/>
      <c r="O21" s="211"/>
      <c r="P21" s="211"/>
    </row>
    <row r="22" spans="2:16" ht="12.75">
      <c r="B22" s="118">
        <f t="shared" si="0"/>
        <v>38748</v>
      </c>
      <c r="C22" s="212" t="str">
        <f>"Wrote check (ch#"&amp;F22&amp;") to "&amp;O22&amp;" for a "&amp;Assumptions!C27&amp;" (the amount = "&amp;DOLLAR(G22)&amp;")"</f>
        <v>Wrote check (ch#6986) to M. Dole for a Miscellaneous Expense (the amount = $49.00)</v>
      </c>
      <c r="E22" s="213">
        <f>E21</f>
        <v>38748</v>
      </c>
      <c r="F22" s="112">
        <f>F18+1</f>
        <v>6986</v>
      </c>
      <c r="G22" s="109">
        <v>49</v>
      </c>
      <c r="H22" s="111"/>
      <c r="I22" s="111"/>
      <c r="J22" s="112"/>
      <c r="K22" s="112"/>
      <c r="L22" s="112"/>
      <c r="M22" s="112"/>
      <c r="N22" s="112"/>
      <c r="O22" s="211" t="s">
        <v>258</v>
      </c>
      <c r="P22" s="211"/>
    </row>
    <row r="23" spans="2:16" ht="12.75">
      <c r="B23" s="118">
        <f t="shared" si="0"/>
        <v>38748</v>
      </c>
      <c r="C23" s="212" t="str">
        <f>"Record payroll entry ==&gt; "&amp;Assumptions!C24&amp;" = "&amp;DOLLAR(G23)&amp;"; "&amp;Assumptions!C11&amp;" = "&amp;DOLLAR(H23)&amp;"; "&amp;Assumptions!C12&amp;" = "&amp;DOLLAR(I23)</f>
        <v>Record payroll entry ==&gt; Salaries Expense = $6,100.00; Employees' Federal Tax Payable = $854.00; FICA Payable = $466.65</v>
      </c>
      <c r="E23" s="213">
        <f>E22</f>
        <v>38748</v>
      </c>
      <c r="F23" s="112"/>
      <c r="G23" s="109">
        <v>6100</v>
      </c>
      <c r="H23" s="109">
        <v>854</v>
      </c>
      <c r="I23" s="109">
        <v>466.65</v>
      </c>
      <c r="J23" s="112"/>
      <c r="K23" s="112"/>
      <c r="L23" s="112"/>
      <c r="M23" s="112"/>
      <c r="N23" s="112"/>
      <c r="O23" s="211"/>
      <c r="P23" s="211"/>
    </row>
    <row r="24" spans="2:16" ht="12.75">
      <c r="B24" s="118">
        <f t="shared" si="0"/>
        <v>38748</v>
      </c>
      <c r="C24" s="212" t="str">
        <f>"Record payroll tax entry ==&gt; "&amp;Assumptions!C12&amp;" = "&amp;DOLLAR(G24)&amp;"; "&amp;Assumptions!C13&amp;" = "&amp;DOLLAR(H24)&amp;"; "&amp;Assumptions!C14&amp;" = "&amp;DOLLAR(I24)</f>
        <v>Record payroll tax entry ==&gt; FICA Payable = $466.65; SUTA Payable = $329.40; FUTA Payable = $48.80</v>
      </c>
      <c r="E24" s="213">
        <f>E23</f>
        <v>38748</v>
      </c>
      <c r="F24" s="112"/>
      <c r="G24" s="111">
        <f>I23</f>
        <v>466.65</v>
      </c>
      <c r="H24" s="109">
        <v>329.4</v>
      </c>
      <c r="I24" s="109">
        <v>48.8</v>
      </c>
      <c r="J24" s="112"/>
      <c r="K24" s="112"/>
      <c r="L24" s="112"/>
      <c r="M24" s="112"/>
      <c r="N24" s="112"/>
      <c r="O24" s="211"/>
      <c r="P24" s="211"/>
    </row>
    <row r="25" spans="2:16" ht="12.75">
      <c r="B25" s="118">
        <f t="shared" si="0"/>
        <v>38748</v>
      </c>
      <c r="C25" s="212" t="str">
        <f>"Issued "&amp;F1&amp;" "&amp;F25&amp;" for "&amp;DOLLAR(G25)&amp;" to pay the employees."</f>
        <v>Issued Check # 6987 for $4,779.35 to pay the employees.</v>
      </c>
      <c r="E25" s="213">
        <f>E24</f>
        <v>38748</v>
      </c>
      <c r="F25" s="112">
        <f>F22+1</f>
        <v>6987</v>
      </c>
      <c r="G25" s="111">
        <f>G23-H23-I23</f>
        <v>4779.35</v>
      </c>
      <c r="H25" s="111"/>
      <c r="I25" s="111"/>
      <c r="J25" s="112"/>
      <c r="K25" s="112"/>
      <c r="L25" s="112"/>
      <c r="M25" s="112"/>
      <c r="N25" s="112"/>
      <c r="O25" s="211"/>
      <c r="P25" s="211"/>
    </row>
    <row r="26" spans="2:16" ht="12.75">
      <c r="B26" s="118">
        <f t="shared" si="0"/>
        <v>38748</v>
      </c>
      <c r="C26" s="212" t="str">
        <f>"Issued "&amp;F1&amp;" "&amp;F26&amp;" for "&amp;DOLLAR(G26)&amp;" (owner withdrawal for personal use)."</f>
        <v>Issued Check # 6988 for $950.00 (owner withdrawal for personal use).</v>
      </c>
      <c r="E26" s="213">
        <f>E25</f>
        <v>38748</v>
      </c>
      <c r="F26" s="112">
        <f>F25+1</f>
        <v>6988</v>
      </c>
      <c r="G26" s="111">
        <v>950</v>
      </c>
      <c r="H26" s="111"/>
      <c r="I26" s="111"/>
      <c r="J26" s="112"/>
      <c r="K26" s="112"/>
      <c r="L26" s="112"/>
      <c r="M26" s="112"/>
      <c r="N26" s="112"/>
      <c r="O26" s="211" t="str">
        <f>Assumptions!G37</f>
        <v>Jay Hammonds</v>
      </c>
      <c r="P26" s="211"/>
    </row>
    <row r="27" spans="2:16" ht="12.75">
      <c r="B27" s="118"/>
      <c r="C27" s="212"/>
      <c r="E27" s="213"/>
      <c r="F27" s="112"/>
      <c r="G27" s="111"/>
      <c r="H27" s="111"/>
      <c r="I27" s="111"/>
      <c r="J27" s="112"/>
      <c r="K27" s="112"/>
      <c r="L27" s="112"/>
      <c r="M27" s="112"/>
      <c r="N27" s="112"/>
      <c r="O27" s="211"/>
      <c r="P27" s="211"/>
    </row>
    <row r="28" spans="2:16" ht="12.75">
      <c r="B28" s="118"/>
      <c r="C28" s="212"/>
      <c r="E28" s="213"/>
      <c r="F28" s="112"/>
      <c r="G28" s="111"/>
      <c r="H28" s="111"/>
      <c r="I28" s="111"/>
      <c r="J28" s="112"/>
      <c r="K28" s="112"/>
      <c r="L28" s="112"/>
      <c r="M28" s="112"/>
      <c r="N28" s="112"/>
      <c r="O28" s="211"/>
      <c r="P28" s="211"/>
    </row>
    <row r="29" ht="12.75">
      <c r="C29"/>
    </row>
    <row r="31" ht="12.75">
      <c r="Q31" t="s">
        <v>247</v>
      </c>
    </row>
    <row r="32" spans="17:18" ht="12.75">
      <c r="Q32" t="s">
        <v>248</v>
      </c>
      <c r="R32" s="117">
        <v>38719</v>
      </c>
    </row>
    <row r="33" spans="17:18" ht="12.75">
      <c r="Q33" t="s">
        <v>249</v>
      </c>
      <c r="R33" s="108">
        <v>6981</v>
      </c>
    </row>
    <row r="34" spans="17:18" ht="12.75">
      <c r="Q34" t="s">
        <v>251</v>
      </c>
      <c r="R34" s="108">
        <v>6483</v>
      </c>
    </row>
  </sheetData>
  <conditionalFormatting sqref="B2:C28">
    <cfRule type="expression" priority="1" dxfId="0" stopIfTrue="1">
      <formula>MOD(ROW(),2)</formula>
    </cfRule>
  </conditionalFormatting>
  <dataValidations count="3">
    <dataValidation type="list" allowBlank="1" showInputMessage="1" showErrorMessage="1" sqref="J2:J28">
      <formula1>Customers</formula1>
    </dataValidation>
    <dataValidation type="list" allowBlank="1" showInputMessage="1" showErrorMessage="1" sqref="K2:K28">
      <formula1>Suppliers</formula1>
    </dataValidation>
    <dataValidation type="list" allowBlank="1" showInputMessage="1" showErrorMessage="1" sqref="L2:L28">
      <formula1>DropDownList</formula1>
    </dataValidation>
  </dataValidations>
  <printOptions/>
  <pageMargins left="0.75" right="0.75" top="1" bottom="1" header="0.5" footer="0.5"/>
  <pageSetup horizontalDpi="300" verticalDpi="300" orientation="portrait" r:id="rId1"/>
</worksheet>
</file>

<file path=xl/worksheets/sheet12.xml><?xml version="1.0" encoding="utf-8"?>
<worksheet xmlns="http://schemas.openxmlformats.org/spreadsheetml/2006/main" xmlns:r="http://schemas.openxmlformats.org/officeDocument/2006/relationships">
  <sheetPr>
    <tabColor indexed="11"/>
  </sheetPr>
  <dimension ref="A1:J17"/>
  <sheetViews>
    <sheetView showGridLines="0" workbookViewId="0" topLeftCell="A1">
      <selection activeCell="A1" sqref="A1"/>
    </sheetView>
  </sheetViews>
  <sheetFormatPr defaultColWidth="9.140625" defaultRowHeight="12.75"/>
  <cols>
    <col min="1" max="1" width="2.421875" style="0" customWidth="1"/>
    <col min="2" max="2" width="7.140625" style="0" customWidth="1"/>
    <col min="3" max="3" width="3.57421875" style="0" customWidth="1"/>
    <col min="4" max="4" width="7.57421875" style="0" customWidth="1"/>
    <col min="5" max="5" width="26.7109375" style="0" customWidth="1"/>
    <col min="6" max="6" width="8.140625" style="0" customWidth="1"/>
    <col min="7" max="7" width="12.140625" style="0" customWidth="1"/>
    <col min="8" max="8" width="2.421875" style="0" customWidth="1"/>
    <col min="9" max="10" width="9.28125" style="0" bestFit="1" customWidth="1"/>
  </cols>
  <sheetData>
    <row r="1" spans="1:8" ht="13.5" thickBot="1">
      <c r="A1" s="123" t="s">
        <v>173</v>
      </c>
      <c r="B1" s="123"/>
      <c r="C1" s="123"/>
      <c r="D1" s="123"/>
      <c r="E1" s="123"/>
      <c r="F1" s="124" t="s">
        <v>174</v>
      </c>
      <c r="G1" s="125" t="s">
        <v>157</v>
      </c>
      <c r="H1" s="124"/>
    </row>
    <row r="2" spans="1:8" ht="26.25" thickTop="1">
      <c r="A2" s="126"/>
      <c r="B2" s="127" t="s">
        <v>17</v>
      </c>
      <c r="C2" s="127"/>
      <c r="D2" s="128" t="s">
        <v>175</v>
      </c>
      <c r="E2" s="129" t="s">
        <v>176</v>
      </c>
      <c r="F2" s="129" t="s">
        <v>177</v>
      </c>
      <c r="G2" s="128" t="s">
        <v>178</v>
      </c>
      <c r="H2" s="130"/>
    </row>
    <row r="3" spans="1:8" ht="12.75">
      <c r="A3" s="131"/>
      <c r="B3" s="132" t="str">
        <f>Assumptions!$G$31</f>
        <v>2006</v>
      </c>
      <c r="C3" s="132"/>
      <c r="D3" s="132"/>
      <c r="E3" s="132"/>
      <c r="F3" s="132"/>
      <c r="G3" s="160"/>
      <c r="H3" s="133"/>
    </row>
    <row r="4" spans="1:8" ht="12.75">
      <c r="A4" s="131"/>
      <c r="B4" s="132" t="str">
        <f>Assumptions!$G$32</f>
        <v>Jan.</v>
      </c>
      <c r="C4" s="132"/>
      <c r="D4" s="132"/>
      <c r="E4" s="132"/>
      <c r="F4" s="161"/>
      <c r="G4" s="160"/>
      <c r="H4" s="133"/>
    </row>
    <row r="5" spans="1:8" ht="12.75">
      <c r="A5" s="131"/>
      <c r="B5" s="132"/>
      <c r="C5" s="132"/>
      <c r="D5" s="132"/>
      <c r="E5" s="132"/>
      <c r="F5" s="161"/>
      <c r="G5" s="160"/>
      <c r="H5" s="133"/>
    </row>
    <row r="6" spans="1:8" ht="12.75">
      <c r="A6" s="131"/>
      <c r="B6" s="132"/>
      <c r="C6" s="132"/>
      <c r="D6" s="132"/>
      <c r="E6" s="132"/>
      <c r="F6" s="161"/>
      <c r="G6" s="160"/>
      <c r="H6" s="133"/>
    </row>
    <row r="7" spans="1:8" ht="13.5" thickBot="1">
      <c r="A7" s="182"/>
      <c r="B7" s="183"/>
      <c r="C7" s="183"/>
      <c r="D7" s="183"/>
      <c r="E7" s="183"/>
      <c r="F7" s="184"/>
      <c r="G7" s="185"/>
      <c r="H7" s="186"/>
    </row>
    <row r="8" spans="1:8" ht="14.25" thickBot="1" thickTop="1">
      <c r="A8" s="187"/>
      <c r="B8" s="188"/>
      <c r="C8" s="188"/>
      <c r="D8" s="188"/>
      <c r="E8" s="188"/>
      <c r="F8" s="188"/>
      <c r="G8" s="189"/>
      <c r="H8" s="190"/>
    </row>
    <row r="9" spans="1:8" ht="13.5" thickTop="1">
      <c r="A9" s="144"/>
      <c r="B9" s="145"/>
      <c r="C9" s="145"/>
      <c r="D9" s="145"/>
      <c r="E9" s="145"/>
      <c r="F9" s="177" t="s">
        <v>232</v>
      </c>
      <c r="G9" s="199"/>
      <c r="H9" s="146"/>
    </row>
    <row r="10" spans="1:8" ht="12.75">
      <c r="A10" s="131"/>
      <c r="B10" s="132"/>
      <c r="C10" s="132"/>
      <c r="D10" s="132"/>
      <c r="E10" s="132"/>
      <c r="F10" s="177" t="s">
        <v>232</v>
      </c>
      <c r="G10" s="200"/>
      <c r="H10" s="133"/>
    </row>
    <row r="12" spans="9:10" ht="12.75">
      <c r="I12" s="134" t="s">
        <v>179</v>
      </c>
      <c r="J12" s="134"/>
    </row>
    <row r="13" spans="9:10" ht="12.75">
      <c r="I13" s="135" t="s">
        <v>38</v>
      </c>
      <c r="J13" s="135" t="s">
        <v>39</v>
      </c>
    </row>
    <row r="14" spans="9:10" ht="12.75">
      <c r="I14" s="107"/>
      <c r="J14" s="107"/>
    </row>
    <row r="15" spans="9:10" ht="12.75">
      <c r="I15" s="107"/>
      <c r="J15" s="107"/>
    </row>
    <row r="16" spans="9:10" ht="13.5" thickBot="1">
      <c r="I16" s="136"/>
      <c r="J16" s="136"/>
    </row>
    <row r="17" spans="9:10" ht="13.5" thickBot="1">
      <c r="I17" s="191"/>
      <c r="J17" s="191"/>
    </row>
    <row r="18" ht="13.5" thickTop="1"/>
  </sheetData>
  <dataValidations count="2">
    <dataValidation type="list" allowBlank="1" showInputMessage="1" showErrorMessage="1" sqref="G1 F3:F8">
      <formula1>JournalNo</formula1>
    </dataValidation>
    <dataValidation type="list" allowBlank="1" showInputMessage="1" showErrorMessage="1" sqref="E3:E10">
      <formula1>Customers</formula1>
    </dataValidation>
  </dataValidations>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sheetPr>
    <tabColor indexed="45"/>
  </sheetPr>
  <dimension ref="A1:O17"/>
  <sheetViews>
    <sheetView showGridLines="0" zoomScale="77" zoomScaleNormal="77" workbookViewId="0" topLeftCell="A1">
      <selection activeCell="A1" sqref="A1"/>
    </sheetView>
  </sheetViews>
  <sheetFormatPr defaultColWidth="9.140625" defaultRowHeight="12.75"/>
  <cols>
    <col min="1" max="1" width="2.00390625" style="0" customWidth="1"/>
    <col min="2" max="2" width="7.421875" style="0" customWidth="1"/>
    <col min="3" max="3" width="3.57421875" style="0" customWidth="1"/>
    <col min="4" max="4" width="28.57421875" style="0" customWidth="1"/>
    <col min="5" max="7" width="9.28125" style="0" customWidth="1"/>
    <col min="8" max="8" width="6.140625" style="0" customWidth="1"/>
    <col min="9" max="9" width="8.140625" style="0" customWidth="1"/>
    <col min="10" max="12" width="9.28125" style="0" customWidth="1"/>
    <col min="13" max="13" width="2.00390625" style="0" customWidth="1"/>
  </cols>
  <sheetData>
    <row r="1" spans="1:12" ht="16.5" thickBot="1">
      <c r="A1" s="138" t="s">
        <v>180</v>
      </c>
      <c r="B1" s="138"/>
      <c r="C1" s="138"/>
      <c r="D1" s="138"/>
      <c r="E1" s="138"/>
      <c r="F1" s="138"/>
      <c r="G1" s="138"/>
      <c r="H1" s="138"/>
      <c r="I1" s="124" t="s">
        <v>174</v>
      </c>
      <c r="J1" s="125" t="s">
        <v>158</v>
      </c>
      <c r="K1" s="124"/>
      <c r="L1" s="124"/>
    </row>
    <row r="2" spans="1:13" ht="39.75" thickBot="1" thickTop="1">
      <c r="A2" s="139"/>
      <c r="B2" s="140" t="s">
        <v>17</v>
      </c>
      <c r="C2" s="140"/>
      <c r="D2" s="141" t="s">
        <v>181</v>
      </c>
      <c r="E2" s="142" t="s">
        <v>182</v>
      </c>
      <c r="F2" s="142" t="s">
        <v>183</v>
      </c>
      <c r="G2" s="141" t="s">
        <v>184</v>
      </c>
      <c r="H2" s="142" t="s">
        <v>185</v>
      </c>
      <c r="I2" s="141" t="s">
        <v>177</v>
      </c>
      <c r="J2" s="142" t="s">
        <v>186</v>
      </c>
      <c r="K2" s="142" t="s">
        <v>187</v>
      </c>
      <c r="L2" s="142" t="s">
        <v>188</v>
      </c>
      <c r="M2" s="143"/>
    </row>
    <row r="3" spans="1:13" ht="13.5" thickTop="1">
      <c r="A3" s="144"/>
      <c r="B3" s="132" t="str">
        <f>Assumptions!$G$31</f>
        <v>2006</v>
      </c>
      <c r="C3" s="145"/>
      <c r="D3" s="145"/>
      <c r="E3" s="145"/>
      <c r="F3" s="145"/>
      <c r="G3" s="145"/>
      <c r="H3" s="145"/>
      <c r="I3" s="145"/>
      <c r="J3" s="166"/>
      <c r="K3" s="166"/>
      <c r="L3" s="166"/>
      <c r="M3" s="146"/>
    </row>
    <row r="4" spans="1:13" ht="12.75">
      <c r="A4" s="131"/>
      <c r="B4" s="132" t="str">
        <f>Assumptions!$G$32</f>
        <v>Jan.</v>
      </c>
      <c r="C4" s="132"/>
      <c r="D4" s="132"/>
      <c r="E4" s="132"/>
      <c r="F4" s="169"/>
      <c r="G4" s="132"/>
      <c r="H4" s="170"/>
      <c r="I4" s="161"/>
      <c r="J4" s="160">
        <f>IF(C4="","",SUM(K4:L4))</f>
      </c>
      <c r="K4" s="160"/>
      <c r="L4" s="160"/>
      <c r="M4" s="133"/>
    </row>
    <row r="5" spans="1:13" ht="13.5" thickBot="1">
      <c r="A5" s="182"/>
      <c r="B5" s="183"/>
      <c r="C5" s="183"/>
      <c r="D5" s="183"/>
      <c r="E5" s="183"/>
      <c r="F5" s="192"/>
      <c r="G5" s="183"/>
      <c r="H5" s="193"/>
      <c r="I5" s="184"/>
      <c r="J5" s="185">
        <f>IF(C5="","",SUM(K5:L5))</f>
      </c>
      <c r="K5" s="185"/>
      <c r="L5" s="185"/>
      <c r="M5" s="186"/>
    </row>
    <row r="6" spans="1:13" ht="14.25" thickBot="1" thickTop="1">
      <c r="A6" s="187"/>
      <c r="B6" s="188"/>
      <c r="C6" s="188"/>
      <c r="D6" s="188"/>
      <c r="E6" s="188"/>
      <c r="F6" s="188"/>
      <c r="G6" s="188"/>
      <c r="H6" s="188"/>
      <c r="I6" s="188"/>
      <c r="J6" s="189"/>
      <c r="K6" s="189"/>
      <c r="L6" s="189"/>
      <c r="M6" s="190"/>
    </row>
    <row r="7" spans="1:13" ht="13.5" thickTop="1">
      <c r="A7" s="144"/>
      <c r="B7" s="145"/>
      <c r="C7" s="145"/>
      <c r="D7" s="145"/>
      <c r="E7" s="145"/>
      <c r="F7" s="145"/>
      <c r="G7" s="145"/>
      <c r="H7" s="145"/>
      <c r="I7" s="177" t="s">
        <v>232</v>
      </c>
      <c r="J7" s="199"/>
      <c r="K7" s="199"/>
      <c r="L7" s="199"/>
      <c r="M7" s="146"/>
    </row>
    <row r="8" spans="1:13" ht="12.75">
      <c r="A8" s="131"/>
      <c r="B8" s="132"/>
      <c r="C8" s="132"/>
      <c r="D8" s="132"/>
      <c r="E8" s="132"/>
      <c r="F8" s="132"/>
      <c r="G8" s="132"/>
      <c r="H8" s="132"/>
      <c r="I8" s="132"/>
      <c r="J8" s="160"/>
      <c r="K8" s="160"/>
      <c r="L8" s="160"/>
      <c r="M8" s="133"/>
    </row>
    <row r="9" spans="1:13" ht="12.75">
      <c r="A9" s="131"/>
      <c r="B9" s="132"/>
      <c r="C9" s="132"/>
      <c r="D9" s="132"/>
      <c r="E9" s="132"/>
      <c r="F9" s="132"/>
      <c r="G9" s="132"/>
      <c r="H9" s="132"/>
      <c r="I9" s="132"/>
      <c r="J9" s="160"/>
      <c r="K9" s="160"/>
      <c r="L9" s="160"/>
      <c r="M9" s="133"/>
    </row>
    <row r="10" spans="1:13" ht="12.75">
      <c r="A10" s="131"/>
      <c r="B10" s="132"/>
      <c r="C10" s="132"/>
      <c r="D10" s="132"/>
      <c r="E10" s="132"/>
      <c r="F10" s="132"/>
      <c r="G10" s="132"/>
      <c r="H10" s="132"/>
      <c r="I10" s="132"/>
      <c r="J10" s="160"/>
      <c r="K10" s="160"/>
      <c r="L10" s="160"/>
      <c r="M10" s="133"/>
    </row>
    <row r="12" spans="14:15" ht="12.75">
      <c r="N12" s="134" t="s">
        <v>179</v>
      </c>
      <c r="O12" s="134"/>
    </row>
    <row r="13" spans="14:15" ht="12.75">
      <c r="N13" s="135" t="s">
        <v>38</v>
      </c>
      <c r="O13" s="135" t="s">
        <v>39</v>
      </c>
    </row>
    <row r="14" spans="14:15" ht="12.75">
      <c r="N14" s="107"/>
      <c r="O14" s="107"/>
    </row>
    <row r="15" spans="14:15" ht="12.75">
      <c r="N15" s="107"/>
      <c r="O15" s="107"/>
    </row>
    <row r="16" spans="14:15" ht="13.5" thickBot="1">
      <c r="N16" s="136"/>
      <c r="O16" s="136"/>
    </row>
    <row r="17" spans="14:15" ht="13.5" thickBot="1">
      <c r="N17" s="137"/>
      <c r="O17" s="137"/>
    </row>
    <row r="18" ht="13.5" thickTop="1"/>
  </sheetData>
  <dataValidations count="2">
    <dataValidation type="list" allowBlank="1" showInputMessage="1" showErrorMessage="1" sqref="J1">
      <formula1>JournalNo</formula1>
    </dataValidation>
    <dataValidation type="list" allowBlank="1" showInputMessage="1" showErrorMessage="1" sqref="D3:D10">
      <formula1>Suppliers</formula1>
    </dataValidation>
  </dataValidations>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sheetPr>
    <tabColor indexed="50"/>
  </sheetPr>
  <dimension ref="A1:M20"/>
  <sheetViews>
    <sheetView showGridLines="0" zoomScale="77" zoomScaleNormal="77" workbookViewId="0" topLeftCell="A1">
      <selection activeCell="A1" sqref="A1"/>
    </sheetView>
  </sheetViews>
  <sheetFormatPr defaultColWidth="9.140625" defaultRowHeight="12.75"/>
  <cols>
    <col min="1" max="1" width="2.28125" style="0" customWidth="1"/>
    <col min="2" max="2" width="7.28125" style="0" customWidth="1"/>
    <col min="3" max="3" width="3.57421875" style="0" customWidth="1"/>
    <col min="4" max="4" width="24.140625" style="0" customWidth="1"/>
    <col min="5" max="5" width="8.28125" style="0" customWidth="1"/>
    <col min="6" max="10" width="13.8515625" style="0" customWidth="1"/>
    <col min="11" max="11" width="2.28125" style="0" customWidth="1"/>
    <col min="12" max="12" width="12.140625" style="0" bestFit="1" customWidth="1"/>
    <col min="13" max="13" width="11.28125" style="0" bestFit="1" customWidth="1"/>
  </cols>
  <sheetData>
    <row r="1" spans="1:10" ht="16.5" thickBot="1">
      <c r="A1" s="147" t="s">
        <v>189</v>
      </c>
      <c r="B1" s="147"/>
      <c r="C1" s="147"/>
      <c r="D1" s="147"/>
      <c r="E1" s="147"/>
      <c r="F1" s="147"/>
      <c r="G1" s="147"/>
      <c r="H1" s="124" t="s">
        <v>174</v>
      </c>
      <c r="I1" s="125" t="s">
        <v>159</v>
      </c>
      <c r="J1" s="124"/>
    </row>
    <row r="2" spans="1:11" ht="27" thickBot="1" thickTop="1">
      <c r="A2" s="139"/>
      <c r="B2" s="148" t="s">
        <v>17</v>
      </c>
      <c r="C2" s="140"/>
      <c r="D2" s="142" t="s">
        <v>190</v>
      </c>
      <c r="E2" s="142" t="s">
        <v>191</v>
      </c>
      <c r="F2" s="142" t="s">
        <v>192</v>
      </c>
      <c r="G2" s="142" t="s">
        <v>193</v>
      </c>
      <c r="H2" s="142" t="s">
        <v>194</v>
      </c>
      <c r="I2" s="142" t="s">
        <v>195</v>
      </c>
      <c r="J2" s="142" t="s">
        <v>196</v>
      </c>
      <c r="K2" s="143"/>
    </row>
    <row r="3" spans="1:11" ht="13.5" thickTop="1">
      <c r="A3" s="144"/>
      <c r="B3" s="132" t="str">
        <f>Assumptions!$G$31</f>
        <v>2006</v>
      </c>
      <c r="C3" s="145"/>
      <c r="D3" s="145"/>
      <c r="E3" s="145"/>
      <c r="F3" s="167"/>
      <c r="G3" s="167"/>
      <c r="H3" s="167"/>
      <c r="I3" s="167"/>
      <c r="J3" s="167"/>
      <c r="K3" s="146"/>
    </row>
    <row r="4" spans="1:11" ht="12.75">
      <c r="A4" s="131"/>
      <c r="B4" s="132" t="str">
        <f>Assumptions!$G$32</f>
        <v>Jan.</v>
      </c>
      <c r="C4" s="132"/>
      <c r="D4" s="132"/>
      <c r="E4" s="132"/>
      <c r="F4" s="168"/>
      <c r="G4" s="168"/>
      <c r="H4" s="168"/>
      <c r="I4" s="168"/>
      <c r="J4" s="168">
        <f aca="true" t="shared" si="0" ref="J4:J9">IF(C4="","",SUM(F4:H4)-I4)</f>
      </c>
      <c r="K4" s="133"/>
    </row>
    <row r="5" spans="1:11" ht="12.75">
      <c r="A5" s="131"/>
      <c r="B5" s="132"/>
      <c r="C5" s="132"/>
      <c r="D5" s="132"/>
      <c r="E5" s="161"/>
      <c r="F5" s="168"/>
      <c r="G5" s="168"/>
      <c r="H5" s="168"/>
      <c r="I5" s="168"/>
      <c r="J5" s="168">
        <f t="shared" si="0"/>
      </c>
      <c r="K5" s="133"/>
    </row>
    <row r="6" spans="1:11" ht="12.75">
      <c r="A6" s="131"/>
      <c r="B6" s="132"/>
      <c r="C6" s="132"/>
      <c r="D6" s="132"/>
      <c r="E6" s="161"/>
      <c r="F6" s="168"/>
      <c r="G6" s="168"/>
      <c r="H6" s="168"/>
      <c r="I6" s="168"/>
      <c r="J6" s="168">
        <f t="shared" si="0"/>
      </c>
      <c r="K6" s="133"/>
    </row>
    <row r="7" spans="1:11" ht="12.75">
      <c r="A7" s="131"/>
      <c r="B7" s="132"/>
      <c r="C7" s="132"/>
      <c r="D7" s="132"/>
      <c r="E7" s="132"/>
      <c r="F7" s="168"/>
      <c r="G7" s="168"/>
      <c r="H7" s="168"/>
      <c r="I7" s="168"/>
      <c r="J7" s="168">
        <f t="shared" si="0"/>
      </c>
      <c r="K7" s="133"/>
    </row>
    <row r="8" spans="1:11" ht="12.75">
      <c r="A8" s="131"/>
      <c r="B8" s="132"/>
      <c r="C8" s="132"/>
      <c r="D8" s="132"/>
      <c r="E8" s="132"/>
      <c r="F8" s="168"/>
      <c r="G8" s="168"/>
      <c r="H8" s="168"/>
      <c r="I8" s="168"/>
      <c r="J8" s="168">
        <f t="shared" si="0"/>
      </c>
      <c r="K8" s="133"/>
    </row>
    <row r="9" spans="1:11" ht="13.5" thickBot="1">
      <c r="A9" s="182"/>
      <c r="B9" s="183"/>
      <c r="C9" s="183"/>
      <c r="D9" s="183"/>
      <c r="E9" s="183"/>
      <c r="F9" s="194"/>
      <c r="G9" s="194"/>
      <c r="H9" s="194"/>
      <c r="I9" s="194"/>
      <c r="J9" s="194">
        <f t="shared" si="0"/>
      </c>
      <c r="K9" s="186"/>
    </row>
    <row r="10" spans="1:11" ht="14.25" thickBot="1" thickTop="1">
      <c r="A10" s="187"/>
      <c r="B10" s="188"/>
      <c r="C10" s="188"/>
      <c r="D10" s="188"/>
      <c r="E10" s="188"/>
      <c r="F10" s="195"/>
      <c r="G10" s="195"/>
      <c r="H10" s="195"/>
      <c r="I10" s="195"/>
      <c r="J10" s="195"/>
      <c r="K10" s="190"/>
    </row>
    <row r="11" spans="1:11" ht="13.5" thickTop="1">
      <c r="A11" s="144"/>
      <c r="B11" s="145"/>
      <c r="C11" s="145"/>
      <c r="D11" s="145"/>
      <c r="E11" s="177" t="s">
        <v>232</v>
      </c>
      <c r="F11" s="202" t="s">
        <v>233</v>
      </c>
      <c r="G11" s="201"/>
      <c r="H11" s="201"/>
      <c r="I11" s="201"/>
      <c r="J11" s="201"/>
      <c r="K11" s="146"/>
    </row>
    <row r="12" spans="1:11" ht="12.75">
      <c r="A12" s="131"/>
      <c r="B12" s="132"/>
      <c r="C12" s="132"/>
      <c r="D12" s="132"/>
      <c r="E12" s="132"/>
      <c r="F12" s="168"/>
      <c r="G12" s="168"/>
      <c r="H12" s="168"/>
      <c r="I12" s="168"/>
      <c r="J12" s="168"/>
      <c r="K12" s="133"/>
    </row>
    <row r="13" spans="1:11" ht="12.75">
      <c r="A13" s="131"/>
      <c r="B13" s="132"/>
      <c r="C13" s="132"/>
      <c r="D13" s="132"/>
      <c r="E13" s="132"/>
      <c r="F13" s="168"/>
      <c r="G13" s="168"/>
      <c r="H13" s="168"/>
      <c r="I13" s="168"/>
      <c r="J13" s="168"/>
      <c r="K13" s="133"/>
    </row>
    <row r="14" spans="1:11" ht="12.75">
      <c r="A14" s="131"/>
      <c r="B14" s="132"/>
      <c r="C14" s="132"/>
      <c r="D14" s="132"/>
      <c r="E14" s="132"/>
      <c r="F14" s="168"/>
      <c r="G14" s="168"/>
      <c r="H14" s="168"/>
      <c r="I14" s="168"/>
      <c r="J14" s="168"/>
      <c r="K14" s="133"/>
    </row>
    <row r="15" spans="12:13" ht="12.75">
      <c r="L15" s="134" t="s">
        <v>179</v>
      </c>
      <c r="M15" s="134"/>
    </row>
    <row r="16" spans="12:13" ht="12.75">
      <c r="L16" s="135" t="s">
        <v>38</v>
      </c>
      <c r="M16" s="135" t="s">
        <v>39</v>
      </c>
    </row>
    <row r="17" spans="12:13" ht="12.75">
      <c r="L17" s="196"/>
      <c r="M17" s="196"/>
    </row>
    <row r="18" spans="12:13" ht="12.75">
      <c r="L18" s="196"/>
      <c r="M18" s="196"/>
    </row>
    <row r="19" spans="12:13" ht="13.5" thickBot="1">
      <c r="L19" s="136"/>
      <c r="M19" s="198"/>
    </row>
    <row r="20" spans="12:13" ht="13.5" thickBot="1">
      <c r="L20" s="197"/>
      <c r="M20" s="197"/>
    </row>
    <row r="21" ht="13.5" thickTop="1"/>
  </sheetData>
  <dataValidations count="2">
    <dataValidation type="list" allowBlank="1" showInputMessage="1" showErrorMessage="1" sqref="I1">
      <formula1>JournalNo</formula1>
    </dataValidation>
    <dataValidation type="list" allowBlank="1" showInputMessage="1" showErrorMessage="1" sqref="D3:D14">
      <formula1>DropDownList</formula1>
    </dataValidation>
  </dataValidations>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sheetPr>
    <tabColor indexed="52"/>
  </sheetPr>
  <dimension ref="A1:M20"/>
  <sheetViews>
    <sheetView showGridLines="0" zoomScale="77" zoomScaleNormal="77" workbookViewId="0" topLeftCell="A1">
      <selection activeCell="D4" sqref="D4"/>
    </sheetView>
  </sheetViews>
  <sheetFormatPr defaultColWidth="9.140625" defaultRowHeight="12.75"/>
  <cols>
    <col min="1" max="1" width="2.28125" style="0" customWidth="1"/>
    <col min="2" max="2" width="7.28125" style="0" customWidth="1"/>
    <col min="3" max="3" width="3.57421875" style="0" customWidth="1"/>
    <col min="4" max="4" width="6.7109375" style="0" customWidth="1"/>
    <col min="5" max="5" width="39.00390625" style="0" customWidth="1"/>
    <col min="6" max="6" width="7.140625" style="0" customWidth="1"/>
    <col min="7" max="10" width="12.00390625" style="0" customWidth="1"/>
    <col min="11" max="11" width="2.28125" style="0" customWidth="1"/>
    <col min="12" max="13" width="10.28125" style="0" bestFit="1" customWidth="1"/>
  </cols>
  <sheetData>
    <row r="1" spans="1:11" ht="16.5" thickBot="1">
      <c r="A1" s="149" t="s">
        <v>197</v>
      </c>
      <c r="B1" s="149"/>
      <c r="C1" s="149"/>
      <c r="D1" s="149"/>
      <c r="E1" s="149"/>
      <c r="F1" s="149"/>
      <c r="G1" s="149"/>
      <c r="H1" s="124" t="s">
        <v>174</v>
      </c>
      <c r="I1" s="125" t="s">
        <v>160</v>
      </c>
      <c r="J1" s="124"/>
      <c r="K1" s="124"/>
    </row>
    <row r="2" spans="1:11" ht="39.75" thickBot="1" thickTop="1">
      <c r="A2" s="139"/>
      <c r="B2" s="148" t="s">
        <v>17</v>
      </c>
      <c r="C2" s="140"/>
      <c r="D2" s="142" t="s">
        <v>198</v>
      </c>
      <c r="E2" s="142" t="s">
        <v>199</v>
      </c>
      <c r="F2" s="142" t="s">
        <v>191</v>
      </c>
      <c r="G2" s="142" t="s">
        <v>200</v>
      </c>
      <c r="H2" s="142" t="s">
        <v>201</v>
      </c>
      <c r="I2" s="142" t="s">
        <v>202</v>
      </c>
      <c r="J2" s="142" t="s">
        <v>203</v>
      </c>
      <c r="K2" s="143"/>
    </row>
    <row r="3" spans="1:11" ht="13.5" thickTop="1">
      <c r="A3" s="144"/>
      <c r="B3" s="132" t="str">
        <f>Assumptions!$G$31</f>
        <v>2006</v>
      </c>
      <c r="C3" s="145"/>
      <c r="D3" s="145"/>
      <c r="E3" s="145"/>
      <c r="F3" s="145"/>
      <c r="G3" s="166"/>
      <c r="H3" s="166"/>
      <c r="I3" s="166"/>
      <c r="J3" s="166"/>
      <c r="K3" s="146"/>
    </row>
    <row r="4" spans="1:11" ht="12.75">
      <c r="A4" s="131"/>
      <c r="B4" s="132" t="str">
        <f>Assumptions!$G$32</f>
        <v>Jan.</v>
      </c>
      <c r="C4" s="132">
        <v>1</v>
      </c>
      <c r="D4" s="132"/>
      <c r="E4" s="132"/>
      <c r="F4" s="132"/>
      <c r="G4" s="160"/>
      <c r="H4" s="160"/>
      <c r="I4" s="160"/>
      <c r="J4" s="160">
        <f aca="true" t="shared" si="0" ref="J4:J11">IF(C4="","",SUM(G4:H4)-I4)</f>
        <v>0</v>
      </c>
      <c r="K4" s="133"/>
    </row>
    <row r="5" spans="1:11" ht="12.75">
      <c r="A5" s="131"/>
      <c r="B5" s="132"/>
      <c r="C5" s="132"/>
      <c r="D5" s="132"/>
      <c r="E5" s="132"/>
      <c r="F5" s="161"/>
      <c r="G5" s="160"/>
      <c r="H5" s="160"/>
      <c r="I5" s="160"/>
      <c r="J5" s="160">
        <f t="shared" si="0"/>
      </c>
      <c r="K5" s="133"/>
    </row>
    <row r="6" spans="1:11" ht="12.75">
      <c r="A6" s="131"/>
      <c r="B6" s="132"/>
      <c r="C6" s="132"/>
      <c r="D6" s="132"/>
      <c r="E6" s="132"/>
      <c r="F6" s="161"/>
      <c r="G6" s="160"/>
      <c r="H6" s="160"/>
      <c r="I6" s="160"/>
      <c r="J6" s="160">
        <f t="shared" si="0"/>
      </c>
      <c r="K6" s="133"/>
    </row>
    <row r="7" spans="1:11" ht="12.75">
      <c r="A7" s="131"/>
      <c r="B7" s="132"/>
      <c r="C7" s="132"/>
      <c r="D7" s="132"/>
      <c r="E7" s="132"/>
      <c r="F7" s="132"/>
      <c r="G7" s="160"/>
      <c r="H7" s="160"/>
      <c r="I7" s="160"/>
      <c r="J7" s="160">
        <f t="shared" si="0"/>
      </c>
      <c r="K7" s="133"/>
    </row>
    <row r="8" spans="1:11" ht="12.75">
      <c r="A8" s="131"/>
      <c r="B8" s="132"/>
      <c r="C8" s="132"/>
      <c r="D8" s="132"/>
      <c r="E8" s="132"/>
      <c r="F8" s="132"/>
      <c r="G8" s="160"/>
      <c r="H8" s="160"/>
      <c r="I8" s="160"/>
      <c r="J8" s="160">
        <f t="shared" si="0"/>
      </c>
      <c r="K8" s="133"/>
    </row>
    <row r="9" spans="1:11" ht="12.75">
      <c r="A9" s="131"/>
      <c r="B9" s="132"/>
      <c r="C9" s="132"/>
      <c r="D9" s="132"/>
      <c r="E9" s="132"/>
      <c r="F9" s="132"/>
      <c r="G9" s="160"/>
      <c r="H9" s="160"/>
      <c r="I9" s="160"/>
      <c r="J9" s="160">
        <f t="shared" si="0"/>
      </c>
      <c r="K9" s="133"/>
    </row>
    <row r="10" spans="1:11" ht="12.75">
      <c r="A10" s="131"/>
      <c r="B10" s="132"/>
      <c r="C10" s="132"/>
      <c r="D10" s="132"/>
      <c r="E10" s="132"/>
      <c r="F10" s="132"/>
      <c r="G10" s="160"/>
      <c r="H10" s="160"/>
      <c r="I10" s="160"/>
      <c r="J10" s="160">
        <f t="shared" si="0"/>
      </c>
      <c r="K10" s="133"/>
    </row>
    <row r="11" spans="1:11" ht="13.5" thickBot="1">
      <c r="A11" s="182"/>
      <c r="B11" s="183"/>
      <c r="C11" s="183"/>
      <c r="D11" s="183"/>
      <c r="E11" s="183"/>
      <c r="F11" s="183"/>
      <c r="G11" s="185"/>
      <c r="H11" s="185"/>
      <c r="I11" s="185"/>
      <c r="J11" s="185">
        <f t="shared" si="0"/>
      </c>
      <c r="K11" s="186"/>
    </row>
    <row r="12" spans="1:11" ht="14.25" thickBot="1" thickTop="1">
      <c r="A12" s="187"/>
      <c r="B12" s="188"/>
      <c r="C12" s="188"/>
      <c r="D12" s="188"/>
      <c r="E12" s="188"/>
      <c r="F12" s="188"/>
      <c r="G12" s="189"/>
      <c r="H12" s="189"/>
      <c r="I12" s="189"/>
      <c r="J12" s="189"/>
      <c r="K12" s="190"/>
    </row>
    <row r="13" spans="1:11" ht="13.5" thickTop="1">
      <c r="A13" s="144"/>
      <c r="B13" s="145"/>
      <c r="C13" s="145"/>
      <c r="D13" s="145"/>
      <c r="E13" s="145"/>
      <c r="F13" s="177" t="s">
        <v>232</v>
      </c>
      <c r="G13" s="202" t="s">
        <v>234</v>
      </c>
      <c r="H13" s="201"/>
      <c r="I13" s="201"/>
      <c r="J13" s="201"/>
      <c r="K13" s="146"/>
    </row>
    <row r="14" spans="1:11" ht="12.75">
      <c r="A14" s="131"/>
      <c r="B14" s="132"/>
      <c r="C14" s="132"/>
      <c r="D14" s="132"/>
      <c r="E14" s="132"/>
      <c r="F14" s="132"/>
      <c r="G14" s="160"/>
      <c r="H14" s="160"/>
      <c r="I14" s="160"/>
      <c r="J14" s="160"/>
      <c r="K14" s="133"/>
    </row>
    <row r="15" spans="12:13" ht="12.75">
      <c r="L15" s="134" t="s">
        <v>179</v>
      </c>
      <c r="M15" s="134"/>
    </row>
    <row r="16" spans="12:13" ht="12.75">
      <c r="L16" s="135" t="s">
        <v>38</v>
      </c>
      <c r="M16" s="135" t="s">
        <v>39</v>
      </c>
    </row>
    <row r="17" spans="12:13" ht="12.75">
      <c r="L17" s="110"/>
      <c r="M17" s="110"/>
    </row>
    <row r="18" spans="12:13" ht="12.75">
      <c r="L18" s="110"/>
      <c r="M18" s="110"/>
    </row>
    <row r="19" spans="12:13" ht="13.5" thickBot="1">
      <c r="L19" s="136"/>
      <c r="M19" s="136"/>
    </row>
    <row r="20" spans="12:13" ht="13.5" thickBot="1">
      <c r="L20" s="191"/>
      <c r="M20" s="191"/>
    </row>
    <row r="21" ht="13.5" thickTop="1"/>
  </sheetData>
  <dataValidations count="2">
    <dataValidation type="list" allowBlank="1" showInputMessage="1" showErrorMessage="1" sqref="I1">
      <formula1>JournalNo</formula1>
    </dataValidation>
    <dataValidation type="list" allowBlank="1" showInputMessage="1" showErrorMessage="1" sqref="E3:E14">
      <formula1>DropDownList</formula1>
    </dataValidation>
  </dataValidations>
  <printOptions/>
  <pageMargins left="0.75" right="0.75" top="1" bottom="1" header="0.5" footer="0.5"/>
  <pageSetup orientation="portrait" paperSize="9"/>
  <drawing r:id="rId1"/>
</worksheet>
</file>

<file path=xl/worksheets/sheet16.xml><?xml version="1.0" encoding="utf-8"?>
<worksheet xmlns="http://schemas.openxmlformats.org/spreadsheetml/2006/main" xmlns:r="http://schemas.openxmlformats.org/officeDocument/2006/relationships">
  <sheetPr>
    <tabColor indexed="57"/>
  </sheetPr>
  <dimension ref="A1:I44"/>
  <sheetViews>
    <sheetView showGridLines="0" zoomScale="70" zoomScaleNormal="70" workbookViewId="0" topLeftCell="A1">
      <selection activeCell="A1" sqref="A1"/>
    </sheetView>
  </sheetViews>
  <sheetFormatPr defaultColWidth="9.140625" defaultRowHeight="12.75"/>
  <cols>
    <col min="1" max="1" width="3.140625" style="0" customWidth="1"/>
    <col min="3" max="3" width="4.57421875" style="0" customWidth="1"/>
    <col min="4" max="4" width="64.57421875" style="0" customWidth="1"/>
    <col min="5" max="5" width="5.28125" style="0" customWidth="1"/>
    <col min="6" max="6" width="8.7109375" style="0" customWidth="1"/>
    <col min="7" max="7" width="10.28125" style="0" bestFit="1" customWidth="1"/>
    <col min="8" max="8" width="10.7109375" style="0" bestFit="1" customWidth="1"/>
    <col min="9" max="9" width="3.140625" style="0" customWidth="1"/>
  </cols>
  <sheetData>
    <row r="1" spans="1:9" ht="13.5" thickBot="1">
      <c r="A1" s="150"/>
      <c r="B1" s="151" t="s">
        <v>204</v>
      </c>
      <c r="C1" s="151"/>
      <c r="D1" s="151"/>
      <c r="E1" s="151"/>
      <c r="F1" s="151"/>
      <c r="G1" s="152" t="s">
        <v>174</v>
      </c>
      <c r="H1" s="125" t="s">
        <v>161</v>
      </c>
      <c r="I1" s="150"/>
    </row>
    <row r="2" spans="1:9" s="172" customFormat="1" ht="39.75" thickBot="1" thickTop="1">
      <c r="A2" s="153"/>
      <c r="B2" s="140" t="s">
        <v>17</v>
      </c>
      <c r="C2" s="140"/>
      <c r="D2" s="142" t="s">
        <v>18</v>
      </c>
      <c r="E2" s="142" t="s">
        <v>177</v>
      </c>
      <c r="F2" s="176" t="s">
        <v>217</v>
      </c>
      <c r="G2" s="142" t="s">
        <v>38</v>
      </c>
      <c r="H2" s="142" t="s">
        <v>39</v>
      </c>
      <c r="I2" s="171"/>
    </row>
    <row r="3" spans="1:9" ht="13.5" thickTop="1">
      <c r="A3" s="154">
        <v>1</v>
      </c>
      <c r="B3" s="132" t="str">
        <f>Assumptions!$G$31</f>
        <v>2006</v>
      </c>
      <c r="C3" s="145"/>
      <c r="D3" s="145"/>
      <c r="E3" s="145"/>
      <c r="F3" s="177"/>
      <c r="G3" s="167"/>
      <c r="H3" s="167"/>
      <c r="I3" s="155">
        <f aca="true" t="shared" si="0" ref="I3:I44">A3</f>
        <v>1</v>
      </c>
    </row>
    <row r="4" spans="1:9" ht="12.75">
      <c r="A4" s="156">
        <v>2</v>
      </c>
      <c r="B4" s="132" t="str">
        <f>Assumptions!$G$32</f>
        <v>Jan.</v>
      </c>
      <c r="C4" s="132"/>
      <c r="D4" s="132"/>
      <c r="E4" s="132"/>
      <c r="F4" s="178"/>
      <c r="G4" s="168"/>
      <c r="H4" s="168"/>
      <c r="I4" s="157">
        <f t="shared" si="0"/>
        <v>2</v>
      </c>
    </row>
    <row r="5" spans="1:9" ht="12.75">
      <c r="A5" s="156">
        <v>3</v>
      </c>
      <c r="B5" s="132"/>
      <c r="C5" s="132"/>
      <c r="D5" s="173"/>
      <c r="E5" s="132"/>
      <c r="F5" s="179"/>
      <c r="G5" s="168"/>
      <c r="H5" s="168"/>
      <c r="I5" s="157">
        <f t="shared" si="0"/>
        <v>3</v>
      </c>
    </row>
    <row r="6" spans="1:9" ht="12.75">
      <c r="A6" s="156">
        <v>4</v>
      </c>
      <c r="B6" s="132"/>
      <c r="C6" s="132"/>
      <c r="D6" s="175"/>
      <c r="E6" s="132"/>
      <c r="F6" s="178"/>
      <c r="G6" s="168"/>
      <c r="H6" s="168"/>
      <c r="I6" s="157">
        <f t="shared" si="0"/>
        <v>4</v>
      </c>
    </row>
    <row r="7" spans="1:9" ht="12.75">
      <c r="A7" s="156">
        <v>5</v>
      </c>
      <c r="B7" s="132"/>
      <c r="C7" s="132"/>
      <c r="D7" s="132"/>
      <c r="E7" s="132"/>
      <c r="F7" s="178"/>
      <c r="G7" s="168"/>
      <c r="H7" s="168"/>
      <c r="I7" s="157">
        <f t="shared" si="0"/>
        <v>5</v>
      </c>
    </row>
    <row r="8" spans="1:9" ht="12.75">
      <c r="A8" s="156">
        <v>6</v>
      </c>
      <c r="B8" s="132"/>
      <c r="C8" s="132"/>
      <c r="D8" s="132"/>
      <c r="E8" s="132"/>
      <c r="F8" s="178"/>
      <c r="G8" s="168"/>
      <c r="H8" s="168"/>
      <c r="I8" s="157">
        <f t="shared" si="0"/>
        <v>6</v>
      </c>
    </row>
    <row r="9" spans="1:9" ht="12.75">
      <c r="A9" s="156">
        <v>7</v>
      </c>
      <c r="B9" s="132"/>
      <c r="C9" s="132"/>
      <c r="D9" s="173"/>
      <c r="E9" s="132"/>
      <c r="F9" s="179"/>
      <c r="G9" s="168"/>
      <c r="H9" s="168"/>
      <c r="I9" s="157">
        <f t="shared" si="0"/>
        <v>7</v>
      </c>
    </row>
    <row r="10" spans="1:9" ht="12.75">
      <c r="A10" s="156">
        <v>8</v>
      </c>
      <c r="B10" s="132"/>
      <c r="C10" s="132"/>
      <c r="D10" s="175"/>
      <c r="E10" s="132"/>
      <c r="F10" s="178"/>
      <c r="G10" s="168"/>
      <c r="H10" s="168"/>
      <c r="I10" s="157">
        <f t="shared" si="0"/>
        <v>8</v>
      </c>
    </row>
    <row r="11" spans="1:9" ht="12.75">
      <c r="A11" s="156">
        <v>9</v>
      </c>
      <c r="B11" s="132"/>
      <c r="C11" s="132"/>
      <c r="D11" s="132"/>
      <c r="E11" s="132"/>
      <c r="F11" s="178"/>
      <c r="G11" s="168"/>
      <c r="H11" s="168"/>
      <c r="I11" s="157">
        <f t="shared" si="0"/>
        <v>9</v>
      </c>
    </row>
    <row r="12" spans="1:9" ht="12.75">
      <c r="A12" s="156">
        <v>10</v>
      </c>
      <c r="B12" s="132"/>
      <c r="C12" s="132"/>
      <c r="D12" s="132"/>
      <c r="E12" s="132"/>
      <c r="F12" s="179"/>
      <c r="G12" s="168"/>
      <c r="H12" s="168"/>
      <c r="I12" s="157">
        <f t="shared" si="0"/>
        <v>10</v>
      </c>
    </row>
    <row r="13" spans="1:9" ht="12.75">
      <c r="A13" s="156">
        <v>11</v>
      </c>
      <c r="B13" s="132"/>
      <c r="C13" s="132"/>
      <c r="D13" s="173"/>
      <c r="E13" s="132"/>
      <c r="F13" s="178"/>
      <c r="G13" s="168"/>
      <c r="H13" s="168"/>
      <c r="I13" s="157">
        <f t="shared" si="0"/>
        <v>11</v>
      </c>
    </row>
    <row r="14" spans="1:9" ht="12.75">
      <c r="A14" s="156">
        <v>12</v>
      </c>
      <c r="B14" s="132"/>
      <c r="C14" s="132"/>
      <c r="D14" s="175"/>
      <c r="E14" s="132"/>
      <c r="F14" s="178"/>
      <c r="G14" s="168"/>
      <c r="H14" s="168"/>
      <c r="I14" s="157">
        <f t="shared" si="0"/>
        <v>12</v>
      </c>
    </row>
    <row r="15" spans="1:9" ht="12.75">
      <c r="A15" s="156">
        <v>13</v>
      </c>
      <c r="B15" s="132"/>
      <c r="C15" s="132"/>
      <c r="D15" s="132"/>
      <c r="E15" s="132"/>
      <c r="F15" s="178"/>
      <c r="G15" s="168"/>
      <c r="H15" s="168"/>
      <c r="I15" s="157">
        <f t="shared" si="0"/>
        <v>13</v>
      </c>
    </row>
    <row r="16" spans="1:9" ht="12.75">
      <c r="A16" s="156">
        <v>14</v>
      </c>
      <c r="B16" s="132"/>
      <c r="C16" s="132"/>
      <c r="D16" s="132"/>
      <c r="E16" s="132"/>
      <c r="F16" s="178"/>
      <c r="G16" s="168"/>
      <c r="H16" s="168"/>
      <c r="I16" s="157">
        <f t="shared" si="0"/>
        <v>14</v>
      </c>
    </row>
    <row r="17" spans="1:9" ht="12.75">
      <c r="A17" s="156">
        <v>15</v>
      </c>
      <c r="B17" s="132"/>
      <c r="C17" s="132"/>
      <c r="D17" s="173"/>
      <c r="E17" s="132"/>
      <c r="F17" s="178"/>
      <c r="G17" s="168"/>
      <c r="H17" s="168"/>
      <c r="I17" s="157">
        <f t="shared" si="0"/>
        <v>15</v>
      </c>
    </row>
    <row r="18" spans="1:9" ht="12.75">
      <c r="A18" s="156">
        <v>16</v>
      </c>
      <c r="B18" s="132"/>
      <c r="C18" s="132"/>
      <c r="D18" s="173"/>
      <c r="E18" s="132"/>
      <c r="F18" s="178"/>
      <c r="G18" s="168"/>
      <c r="H18" s="168"/>
      <c r="I18" s="157">
        <f t="shared" si="0"/>
        <v>16</v>
      </c>
    </row>
    <row r="19" spans="1:9" ht="12.75">
      <c r="A19" s="156">
        <v>17</v>
      </c>
      <c r="B19" s="132"/>
      <c r="C19" s="132"/>
      <c r="D19" s="173"/>
      <c r="E19" s="132"/>
      <c r="F19" s="178"/>
      <c r="G19" s="168"/>
      <c r="H19" s="168"/>
      <c r="I19" s="157">
        <f t="shared" si="0"/>
        <v>17</v>
      </c>
    </row>
    <row r="20" spans="1:9" ht="12.75">
      <c r="A20" s="156">
        <v>18</v>
      </c>
      <c r="B20" s="132"/>
      <c r="C20" s="132"/>
      <c r="D20" s="174"/>
      <c r="E20" s="132"/>
      <c r="F20" s="178"/>
      <c r="G20" s="168"/>
      <c r="H20" s="168"/>
      <c r="I20" s="157">
        <f t="shared" si="0"/>
        <v>18</v>
      </c>
    </row>
    <row r="21" spans="1:9" ht="12.75">
      <c r="A21" s="156">
        <v>19</v>
      </c>
      <c r="B21" s="132"/>
      <c r="C21" s="132"/>
      <c r="D21" s="132"/>
      <c r="E21" s="132"/>
      <c r="F21" s="178"/>
      <c r="G21" s="168"/>
      <c r="H21" s="168"/>
      <c r="I21" s="157">
        <f t="shared" si="0"/>
        <v>19</v>
      </c>
    </row>
    <row r="22" spans="1:9" ht="12.75">
      <c r="A22" s="156">
        <v>20</v>
      </c>
      <c r="B22" s="132"/>
      <c r="C22" s="132"/>
      <c r="D22" s="132"/>
      <c r="E22" s="132"/>
      <c r="F22" s="178"/>
      <c r="G22" s="168"/>
      <c r="H22" s="168"/>
      <c r="I22" s="157">
        <f t="shared" si="0"/>
        <v>20</v>
      </c>
    </row>
    <row r="23" spans="1:9" ht="12.75">
      <c r="A23" s="156">
        <v>21</v>
      </c>
      <c r="B23" s="132"/>
      <c r="C23" s="132"/>
      <c r="D23" s="173"/>
      <c r="E23" s="132"/>
      <c r="F23" s="178"/>
      <c r="G23" s="168"/>
      <c r="H23" s="168"/>
      <c r="I23" s="157">
        <f t="shared" si="0"/>
        <v>21</v>
      </c>
    </row>
    <row r="24" spans="1:9" ht="12.75">
      <c r="A24" s="156">
        <v>22</v>
      </c>
      <c r="B24" s="132"/>
      <c r="C24" s="132"/>
      <c r="D24" s="173"/>
      <c r="E24" s="132"/>
      <c r="F24" s="178"/>
      <c r="G24" s="168"/>
      <c r="H24" s="168"/>
      <c r="I24" s="157">
        <f t="shared" si="0"/>
        <v>22</v>
      </c>
    </row>
    <row r="25" spans="1:9" ht="12.75">
      <c r="A25" s="156">
        <v>23</v>
      </c>
      <c r="B25" s="132"/>
      <c r="C25" s="132"/>
      <c r="D25" s="173"/>
      <c r="E25" s="132"/>
      <c r="F25" s="178"/>
      <c r="G25" s="168"/>
      <c r="H25" s="168"/>
      <c r="I25" s="157">
        <f t="shared" si="0"/>
        <v>23</v>
      </c>
    </row>
    <row r="26" spans="1:9" ht="12.75">
      <c r="A26" s="156">
        <v>24</v>
      </c>
      <c r="B26" s="132"/>
      <c r="C26" s="132"/>
      <c r="D26" s="174"/>
      <c r="E26" s="132"/>
      <c r="F26" s="178"/>
      <c r="G26" s="168"/>
      <c r="H26" s="168"/>
      <c r="I26" s="157">
        <f t="shared" si="0"/>
        <v>24</v>
      </c>
    </row>
    <row r="27" spans="1:9" ht="12.75">
      <c r="A27" s="156">
        <v>25</v>
      </c>
      <c r="B27" s="132"/>
      <c r="C27" s="132"/>
      <c r="D27" s="132"/>
      <c r="E27" s="132"/>
      <c r="F27" s="178"/>
      <c r="G27" s="168"/>
      <c r="H27" s="168"/>
      <c r="I27" s="157">
        <f t="shared" si="0"/>
        <v>25</v>
      </c>
    </row>
    <row r="28" spans="1:9" ht="12.75">
      <c r="A28" s="156">
        <v>26</v>
      </c>
      <c r="B28" s="132"/>
      <c r="C28" s="132"/>
      <c r="D28" s="132"/>
      <c r="E28" s="132"/>
      <c r="F28" s="178"/>
      <c r="G28" s="168"/>
      <c r="H28" s="168"/>
      <c r="I28" s="157">
        <f t="shared" si="0"/>
        <v>26</v>
      </c>
    </row>
    <row r="29" spans="1:9" ht="12.75">
      <c r="A29" s="156">
        <v>27</v>
      </c>
      <c r="B29" s="132"/>
      <c r="C29" s="132"/>
      <c r="D29" s="132"/>
      <c r="E29" s="132"/>
      <c r="F29" s="178"/>
      <c r="G29" s="168"/>
      <c r="H29" s="168"/>
      <c r="I29" s="157">
        <f t="shared" si="0"/>
        <v>27</v>
      </c>
    </row>
    <row r="30" spans="1:9" ht="12.75">
      <c r="A30" s="156">
        <v>28</v>
      </c>
      <c r="B30" s="132"/>
      <c r="C30" s="132"/>
      <c r="D30" s="132"/>
      <c r="E30" s="132"/>
      <c r="F30" s="178"/>
      <c r="G30" s="168"/>
      <c r="H30" s="168"/>
      <c r="I30" s="157">
        <f t="shared" si="0"/>
        <v>28</v>
      </c>
    </row>
    <row r="31" spans="1:9" ht="12.75">
      <c r="A31" s="156">
        <v>29</v>
      </c>
      <c r="B31" s="132"/>
      <c r="C31" s="132"/>
      <c r="D31" s="132"/>
      <c r="E31" s="132"/>
      <c r="F31" s="178"/>
      <c r="G31" s="168"/>
      <c r="H31" s="168"/>
      <c r="I31" s="157">
        <f t="shared" si="0"/>
        <v>29</v>
      </c>
    </row>
    <row r="32" spans="1:9" ht="12.75">
      <c r="A32" s="156">
        <v>30</v>
      </c>
      <c r="B32" s="132"/>
      <c r="C32" s="132"/>
      <c r="D32" s="132"/>
      <c r="E32" s="132"/>
      <c r="F32" s="178"/>
      <c r="G32" s="168"/>
      <c r="H32" s="168"/>
      <c r="I32" s="157">
        <f t="shared" si="0"/>
        <v>30</v>
      </c>
    </row>
    <row r="33" spans="1:9" ht="12.75">
      <c r="A33" s="156">
        <v>31</v>
      </c>
      <c r="B33" s="132"/>
      <c r="C33" s="132"/>
      <c r="D33" s="132"/>
      <c r="E33" s="132"/>
      <c r="F33" s="178"/>
      <c r="G33" s="168"/>
      <c r="H33" s="168"/>
      <c r="I33" s="157">
        <f t="shared" si="0"/>
        <v>31</v>
      </c>
    </row>
    <row r="34" spans="1:9" ht="12.75">
      <c r="A34" s="156">
        <v>32</v>
      </c>
      <c r="B34" s="132"/>
      <c r="C34" s="132"/>
      <c r="D34" s="132"/>
      <c r="E34" s="132"/>
      <c r="F34" s="178"/>
      <c r="G34" s="168"/>
      <c r="H34" s="168"/>
      <c r="I34" s="157">
        <f t="shared" si="0"/>
        <v>32</v>
      </c>
    </row>
    <row r="35" spans="1:9" ht="12.75">
      <c r="A35" s="156">
        <v>33</v>
      </c>
      <c r="B35" s="132"/>
      <c r="C35" s="132"/>
      <c r="D35" s="132"/>
      <c r="E35" s="132"/>
      <c r="F35" s="178"/>
      <c r="G35" s="168"/>
      <c r="H35" s="168"/>
      <c r="I35" s="157">
        <f t="shared" si="0"/>
        <v>33</v>
      </c>
    </row>
    <row r="36" spans="1:9" ht="12.75">
      <c r="A36" s="156">
        <v>34</v>
      </c>
      <c r="B36" s="132"/>
      <c r="C36" s="132"/>
      <c r="D36" s="132"/>
      <c r="E36" s="132"/>
      <c r="F36" s="178"/>
      <c r="G36" s="168"/>
      <c r="H36" s="168"/>
      <c r="I36" s="157">
        <f t="shared" si="0"/>
        <v>34</v>
      </c>
    </row>
    <row r="37" spans="1:9" ht="12.75">
      <c r="A37" s="156">
        <v>35</v>
      </c>
      <c r="B37" s="132"/>
      <c r="C37" s="132"/>
      <c r="D37" s="132"/>
      <c r="E37" s="132"/>
      <c r="F37" s="178"/>
      <c r="G37" s="168"/>
      <c r="H37" s="168"/>
      <c r="I37" s="157">
        <f t="shared" si="0"/>
        <v>35</v>
      </c>
    </row>
    <row r="38" spans="1:9" ht="12.75">
      <c r="A38" s="156">
        <v>36</v>
      </c>
      <c r="B38" s="132"/>
      <c r="C38" s="132"/>
      <c r="D38" s="132"/>
      <c r="E38" s="132"/>
      <c r="F38" s="178"/>
      <c r="G38" s="168"/>
      <c r="H38" s="168"/>
      <c r="I38" s="157">
        <f t="shared" si="0"/>
        <v>36</v>
      </c>
    </row>
    <row r="39" spans="1:9" ht="12.75">
      <c r="A39" s="156">
        <v>37</v>
      </c>
      <c r="B39" s="132"/>
      <c r="C39" s="132"/>
      <c r="D39" s="132"/>
      <c r="E39" s="132"/>
      <c r="F39" s="178"/>
      <c r="G39" s="168"/>
      <c r="H39" s="168"/>
      <c r="I39" s="157">
        <f t="shared" si="0"/>
        <v>37</v>
      </c>
    </row>
    <row r="40" spans="1:9" ht="12.75">
      <c r="A40" s="156">
        <v>38</v>
      </c>
      <c r="B40" s="132"/>
      <c r="C40" s="132"/>
      <c r="D40" s="132"/>
      <c r="E40" s="132"/>
      <c r="F40" s="178"/>
      <c r="G40" s="168"/>
      <c r="H40" s="168"/>
      <c r="I40" s="157">
        <f t="shared" si="0"/>
        <v>38</v>
      </c>
    </row>
    <row r="41" spans="1:9" ht="12.75">
      <c r="A41" s="156">
        <v>39</v>
      </c>
      <c r="B41" s="132"/>
      <c r="C41" s="132"/>
      <c r="D41" s="132"/>
      <c r="E41" s="132"/>
      <c r="F41" s="178"/>
      <c r="G41" s="168"/>
      <c r="H41" s="168"/>
      <c r="I41" s="157">
        <f t="shared" si="0"/>
        <v>39</v>
      </c>
    </row>
    <row r="42" spans="1:9" ht="12.75">
      <c r="A42" s="156">
        <v>40</v>
      </c>
      <c r="B42" s="132"/>
      <c r="C42" s="132"/>
      <c r="D42" s="132"/>
      <c r="E42" s="132"/>
      <c r="F42" s="178"/>
      <c r="G42" s="168"/>
      <c r="H42" s="168"/>
      <c r="I42" s="157">
        <f t="shared" si="0"/>
        <v>40</v>
      </c>
    </row>
    <row r="43" spans="1:9" ht="12.75">
      <c r="A43" s="156">
        <v>41</v>
      </c>
      <c r="B43" s="132"/>
      <c r="C43" s="132"/>
      <c r="D43" s="132"/>
      <c r="E43" s="132"/>
      <c r="F43" s="178"/>
      <c r="G43" s="168"/>
      <c r="H43" s="168"/>
      <c r="I43" s="157">
        <f t="shared" si="0"/>
        <v>41</v>
      </c>
    </row>
    <row r="44" spans="1:9" ht="12.75">
      <c r="A44" s="156">
        <v>42</v>
      </c>
      <c r="B44" s="132"/>
      <c r="C44" s="132"/>
      <c r="D44" s="132"/>
      <c r="E44" s="132"/>
      <c r="F44" s="178"/>
      <c r="G44" s="168"/>
      <c r="H44" s="168"/>
      <c r="I44" s="157">
        <f t="shared" si="0"/>
        <v>42</v>
      </c>
    </row>
  </sheetData>
  <dataValidations count="1">
    <dataValidation type="list" allowBlank="1" showInputMessage="1" showErrorMessage="1" sqref="H1">
      <formula1>JournalNo</formula1>
    </dataValidation>
  </dataValidations>
  <printOptions/>
  <pageMargins left="0.75" right="0.75" top="1" bottom="1" header="0.5" footer="0.5"/>
  <pageSetup orientation="portrait" paperSize="9"/>
  <drawing r:id="rId1"/>
</worksheet>
</file>

<file path=xl/worksheets/sheet17.xml><?xml version="1.0" encoding="utf-8"?>
<worksheet xmlns="http://schemas.openxmlformats.org/spreadsheetml/2006/main" xmlns:r="http://schemas.openxmlformats.org/officeDocument/2006/relationships">
  <sheetPr>
    <tabColor indexed="12"/>
  </sheetPr>
  <dimension ref="A1:J299"/>
  <sheetViews>
    <sheetView showGridLines="0" workbookViewId="0" topLeftCell="A1">
      <selection activeCell="A1" sqref="A1"/>
    </sheetView>
  </sheetViews>
  <sheetFormatPr defaultColWidth="9.140625" defaultRowHeight="12.75"/>
  <cols>
    <col min="1" max="1" width="2.7109375" style="0" customWidth="1"/>
    <col min="3" max="3" width="4.28125" style="0" customWidth="1"/>
    <col min="5" max="5" width="6.8515625" style="0" customWidth="1"/>
    <col min="6" max="9" width="13.28125" style="0" customWidth="1"/>
    <col min="10" max="10" width="2.7109375" style="0" customWidth="1"/>
  </cols>
  <sheetData>
    <row r="1" spans="1:10" ht="13.5" thickBot="1">
      <c r="A1" s="158" t="s">
        <v>205</v>
      </c>
      <c r="B1" s="158"/>
      <c r="C1" s="159" t="str">
        <f>VLOOKUP(H1,AccNames,2,0)</f>
        <v>Cash</v>
      </c>
      <c r="D1" s="158"/>
      <c r="E1" s="158"/>
      <c r="F1" s="158"/>
      <c r="G1" s="158" t="s">
        <v>206</v>
      </c>
      <c r="H1" s="159">
        <f>Assumptions!B3</f>
        <v>111</v>
      </c>
      <c r="I1" s="158"/>
      <c r="J1" s="158"/>
    </row>
    <row r="2" spans="1:10" ht="14.25" thickBot="1" thickTop="1">
      <c r="A2" s="258"/>
      <c r="B2" s="260" t="s">
        <v>17</v>
      </c>
      <c r="C2" s="261"/>
      <c r="D2" s="260" t="s">
        <v>207</v>
      </c>
      <c r="E2" s="260" t="s">
        <v>177</v>
      </c>
      <c r="F2" s="264" t="s">
        <v>38</v>
      </c>
      <c r="G2" s="264" t="s">
        <v>39</v>
      </c>
      <c r="H2" s="266" t="s">
        <v>208</v>
      </c>
      <c r="I2" s="267"/>
      <c r="J2" s="268"/>
    </row>
    <row r="3" spans="1:10" ht="13.5" thickTop="1">
      <c r="A3" s="259"/>
      <c r="B3" s="262"/>
      <c r="C3" s="263"/>
      <c r="D3" s="262"/>
      <c r="E3" s="262"/>
      <c r="F3" s="265"/>
      <c r="G3" s="265"/>
      <c r="H3" s="145" t="s">
        <v>38</v>
      </c>
      <c r="I3" s="145" t="s">
        <v>39</v>
      </c>
      <c r="J3" s="269"/>
    </row>
    <row r="4" spans="1:10" ht="12.75">
      <c r="A4" s="131"/>
      <c r="B4" s="132" t="str">
        <f>Assumptions!$G$31</f>
        <v>2006</v>
      </c>
      <c r="C4" s="132"/>
      <c r="D4" s="132"/>
      <c r="E4" s="132"/>
      <c r="F4" s="160"/>
      <c r="G4" s="160"/>
      <c r="H4" s="160"/>
      <c r="I4" s="160"/>
      <c r="J4" s="133"/>
    </row>
    <row r="5" spans="1:10" ht="12.75">
      <c r="A5" s="131"/>
      <c r="B5" s="132" t="str">
        <f>Assumptions!$G$32</f>
        <v>Jan.</v>
      </c>
      <c r="C5" s="180" t="str">
        <f>Assumptions!$G$33</f>
        <v>1</v>
      </c>
      <c r="D5" s="132" t="s">
        <v>152</v>
      </c>
      <c r="E5" s="161" t="s">
        <v>209</v>
      </c>
      <c r="F5" s="160"/>
      <c r="G5" s="160"/>
      <c r="H5" s="160">
        <f>Assumptions!D3</f>
        <v>8740</v>
      </c>
      <c r="I5" s="160"/>
      <c r="J5" s="133"/>
    </row>
    <row r="6" spans="1:10" ht="12.75">
      <c r="A6" s="131"/>
      <c r="B6" s="132"/>
      <c r="C6" s="132"/>
      <c r="D6" s="132"/>
      <c r="E6" s="132"/>
      <c r="F6" s="160"/>
      <c r="G6" s="160"/>
      <c r="H6" s="160"/>
      <c r="I6" s="160"/>
      <c r="J6" s="133"/>
    </row>
    <row r="7" spans="1:10" ht="12.75">
      <c r="A7" s="131"/>
      <c r="B7" s="132"/>
      <c r="C7" s="132"/>
      <c r="D7" s="132"/>
      <c r="E7" s="132"/>
      <c r="F7" s="160"/>
      <c r="G7" s="160"/>
      <c r="H7" s="160"/>
      <c r="I7" s="160"/>
      <c r="J7" s="133"/>
    </row>
    <row r="8" spans="1:10" ht="12.75">
      <c r="A8" s="131"/>
      <c r="B8" s="132"/>
      <c r="C8" s="132"/>
      <c r="D8" s="132"/>
      <c r="E8" s="132"/>
      <c r="F8" s="160"/>
      <c r="G8" s="160"/>
      <c r="H8" s="160"/>
      <c r="I8" s="160"/>
      <c r="J8" s="133"/>
    </row>
    <row r="9" spans="1:10" ht="12.75">
      <c r="A9" s="131"/>
      <c r="B9" s="132"/>
      <c r="C9" s="132"/>
      <c r="D9" s="132"/>
      <c r="E9" s="132"/>
      <c r="F9" s="160"/>
      <c r="G9" s="160"/>
      <c r="H9" s="160"/>
      <c r="I9" s="160"/>
      <c r="J9" s="133"/>
    </row>
    <row r="10" spans="1:10" ht="12.75">
      <c r="A10" s="131"/>
      <c r="B10" s="132"/>
      <c r="C10" s="132"/>
      <c r="D10" s="132"/>
      <c r="E10" s="132"/>
      <c r="F10" s="160"/>
      <c r="G10" s="160"/>
      <c r="H10" s="160"/>
      <c r="I10" s="160"/>
      <c r="J10" s="133"/>
    </row>
    <row r="11" spans="1:10" ht="12.75">
      <c r="A11" s="131"/>
      <c r="B11" s="132"/>
      <c r="C11" s="132"/>
      <c r="D11" s="132"/>
      <c r="E11" s="132"/>
      <c r="F11" s="160"/>
      <c r="G11" s="160"/>
      <c r="H11" s="160"/>
      <c r="I11" s="160"/>
      <c r="J11" s="133"/>
    </row>
    <row r="13" spans="1:10" ht="13.5" thickBot="1">
      <c r="A13" s="158" t="s">
        <v>205</v>
      </c>
      <c r="B13" s="158"/>
      <c r="C13" s="159" t="str">
        <f>VLOOKUP(H13,AccNames,2,0)</f>
        <v>Accounts Receivable</v>
      </c>
      <c r="D13" s="158"/>
      <c r="E13" s="158"/>
      <c r="F13" s="158"/>
      <c r="G13" s="158" t="s">
        <v>206</v>
      </c>
      <c r="H13" s="159">
        <f>Assumptions!B4</f>
        <v>113</v>
      </c>
      <c r="I13" s="158"/>
      <c r="J13" s="158"/>
    </row>
    <row r="14" spans="1:10" ht="14.25" thickBot="1" thickTop="1">
      <c r="A14" s="258"/>
      <c r="B14" s="260" t="s">
        <v>17</v>
      </c>
      <c r="C14" s="261"/>
      <c r="D14" s="260" t="s">
        <v>207</v>
      </c>
      <c r="E14" s="260" t="s">
        <v>177</v>
      </c>
      <c r="F14" s="264" t="s">
        <v>38</v>
      </c>
      <c r="G14" s="264" t="s">
        <v>39</v>
      </c>
      <c r="H14" s="266" t="s">
        <v>208</v>
      </c>
      <c r="I14" s="267"/>
      <c r="J14" s="268"/>
    </row>
    <row r="15" spans="1:10" ht="13.5" thickTop="1">
      <c r="A15" s="259"/>
      <c r="B15" s="262"/>
      <c r="C15" s="263"/>
      <c r="D15" s="262"/>
      <c r="E15" s="262"/>
      <c r="F15" s="265"/>
      <c r="G15" s="265"/>
      <c r="H15" s="145" t="s">
        <v>38</v>
      </c>
      <c r="I15" s="145" t="s">
        <v>39</v>
      </c>
      <c r="J15" s="269"/>
    </row>
    <row r="16" spans="1:10" ht="12.75">
      <c r="A16" s="131"/>
      <c r="B16" s="132" t="str">
        <f>Assumptions!$G$31</f>
        <v>2006</v>
      </c>
      <c r="C16" s="132"/>
      <c r="D16" s="132"/>
      <c r="E16" s="132"/>
      <c r="F16" s="160"/>
      <c r="G16" s="160"/>
      <c r="H16" s="160"/>
      <c r="I16" s="160"/>
      <c r="J16" s="133"/>
    </row>
    <row r="17" spans="1:10" ht="12.75">
      <c r="A17" s="131"/>
      <c r="B17" s="132" t="str">
        <f>Assumptions!$G$32</f>
        <v>Jan.</v>
      </c>
      <c r="C17" s="180" t="str">
        <f>Assumptions!$G$33</f>
        <v>1</v>
      </c>
      <c r="D17" s="132" t="s">
        <v>152</v>
      </c>
      <c r="E17" s="161" t="s">
        <v>209</v>
      </c>
      <c r="F17" s="160"/>
      <c r="G17" s="160"/>
      <c r="H17" s="160">
        <f>Assumptions!D4</f>
        <v>1650</v>
      </c>
      <c r="I17" s="160"/>
      <c r="J17" s="133"/>
    </row>
    <row r="18" spans="1:10" ht="12.75">
      <c r="A18" s="131"/>
      <c r="B18" s="132"/>
      <c r="C18" s="132"/>
      <c r="D18" s="132"/>
      <c r="E18" s="132"/>
      <c r="F18" s="160"/>
      <c r="G18" s="160"/>
      <c r="H18" s="160"/>
      <c r="I18" s="160"/>
      <c r="J18" s="133"/>
    </row>
    <row r="19" spans="1:10" ht="12.75">
      <c r="A19" s="131"/>
      <c r="B19" s="132"/>
      <c r="C19" s="132"/>
      <c r="D19" s="132"/>
      <c r="E19" s="132"/>
      <c r="F19" s="160"/>
      <c r="G19" s="160"/>
      <c r="H19" s="160"/>
      <c r="I19" s="160"/>
      <c r="J19" s="133"/>
    </row>
    <row r="20" spans="1:10" ht="12.75">
      <c r="A20" s="131"/>
      <c r="B20" s="132"/>
      <c r="C20" s="132"/>
      <c r="D20" s="132"/>
      <c r="E20" s="132"/>
      <c r="F20" s="160"/>
      <c r="G20" s="160"/>
      <c r="H20" s="160"/>
      <c r="I20" s="160"/>
      <c r="J20" s="133"/>
    </row>
    <row r="21" spans="1:10" ht="12.75">
      <c r="A21" s="131"/>
      <c r="B21" s="132"/>
      <c r="C21" s="132"/>
      <c r="D21" s="132"/>
      <c r="E21" s="132"/>
      <c r="F21" s="160"/>
      <c r="G21" s="160"/>
      <c r="H21" s="160"/>
      <c r="I21" s="160"/>
      <c r="J21" s="133"/>
    </row>
    <row r="22" spans="1:10" ht="12.75">
      <c r="A22" s="131"/>
      <c r="B22" s="132"/>
      <c r="C22" s="132"/>
      <c r="D22" s="132"/>
      <c r="E22" s="132"/>
      <c r="F22" s="160"/>
      <c r="G22" s="160"/>
      <c r="H22" s="160"/>
      <c r="I22" s="160"/>
      <c r="J22" s="133"/>
    </row>
    <row r="23" spans="1:10" ht="12.75">
      <c r="A23" s="131"/>
      <c r="B23" s="132"/>
      <c r="C23" s="132"/>
      <c r="D23" s="132"/>
      <c r="E23" s="132"/>
      <c r="F23" s="160"/>
      <c r="G23" s="160"/>
      <c r="H23" s="160"/>
      <c r="I23" s="160"/>
      <c r="J23" s="133"/>
    </row>
    <row r="25" spans="1:10" ht="13.5" thickBot="1">
      <c r="A25" s="158" t="s">
        <v>205</v>
      </c>
      <c r="B25" s="158"/>
      <c r="C25" s="159" t="str">
        <f>VLOOKUP(H25,AccNames,2,0)</f>
        <v>Merchandise Inventory</v>
      </c>
      <c r="D25" s="158"/>
      <c r="E25" s="158"/>
      <c r="F25" s="158"/>
      <c r="G25" s="158" t="s">
        <v>206</v>
      </c>
      <c r="H25" s="159">
        <f>Assumptions!B5</f>
        <v>114</v>
      </c>
      <c r="I25" s="158"/>
      <c r="J25" s="158"/>
    </row>
    <row r="26" spans="1:10" ht="14.25" thickBot="1" thickTop="1">
      <c r="A26" s="258"/>
      <c r="B26" s="260" t="s">
        <v>17</v>
      </c>
      <c r="C26" s="261"/>
      <c r="D26" s="260" t="s">
        <v>207</v>
      </c>
      <c r="E26" s="260" t="s">
        <v>177</v>
      </c>
      <c r="F26" s="264" t="s">
        <v>38</v>
      </c>
      <c r="G26" s="264" t="s">
        <v>39</v>
      </c>
      <c r="H26" s="266" t="s">
        <v>208</v>
      </c>
      <c r="I26" s="267"/>
      <c r="J26" s="268"/>
    </row>
    <row r="27" spans="1:10" ht="13.5" thickTop="1">
      <c r="A27" s="259"/>
      <c r="B27" s="262"/>
      <c r="C27" s="263"/>
      <c r="D27" s="262"/>
      <c r="E27" s="262"/>
      <c r="F27" s="265"/>
      <c r="G27" s="265"/>
      <c r="H27" s="145" t="s">
        <v>38</v>
      </c>
      <c r="I27" s="145" t="s">
        <v>39</v>
      </c>
      <c r="J27" s="269"/>
    </row>
    <row r="28" spans="1:10" ht="12.75">
      <c r="A28" s="131"/>
      <c r="B28" s="132" t="str">
        <f>Assumptions!$G$31</f>
        <v>2006</v>
      </c>
      <c r="C28" s="132"/>
      <c r="D28" s="132"/>
      <c r="E28" s="132"/>
      <c r="F28" s="160"/>
      <c r="G28" s="160"/>
      <c r="H28" s="160"/>
      <c r="I28" s="160"/>
      <c r="J28" s="133"/>
    </row>
    <row r="29" spans="1:10" ht="12.75">
      <c r="A29" s="131"/>
      <c r="B29" s="132" t="str">
        <f>Assumptions!$G$32</f>
        <v>Jan.</v>
      </c>
      <c r="C29" s="180" t="str">
        <f>Assumptions!$G$33</f>
        <v>1</v>
      </c>
      <c r="D29" s="132" t="s">
        <v>152</v>
      </c>
      <c r="E29" s="161" t="s">
        <v>209</v>
      </c>
      <c r="F29" s="160"/>
      <c r="G29" s="160"/>
      <c r="H29" s="160">
        <f>Assumptions!D5</f>
        <v>20584</v>
      </c>
      <c r="I29" s="160"/>
      <c r="J29" s="133"/>
    </row>
    <row r="30" spans="1:10" ht="12.75">
      <c r="A30" s="131"/>
      <c r="B30" s="132"/>
      <c r="C30" s="132"/>
      <c r="D30" s="132"/>
      <c r="E30" s="132"/>
      <c r="F30" s="160"/>
      <c r="G30" s="160"/>
      <c r="H30" s="160"/>
      <c r="I30" s="160"/>
      <c r="J30" s="133"/>
    </row>
    <row r="31" spans="1:10" ht="12.75">
      <c r="A31" s="131"/>
      <c r="B31" s="132"/>
      <c r="C31" s="132"/>
      <c r="D31" s="132"/>
      <c r="E31" s="132"/>
      <c r="F31" s="160"/>
      <c r="G31" s="160"/>
      <c r="H31" s="160"/>
      <c r="I31" s="160"/>
      <c r="J31" s="133"/>
    </row>
    <row r="32" spans="1:10" ht="12.75">
      <c r="A32" s="131"/>
      <c r="B32" s="132"/>
      <c r="C32" s="132"/>
      <c r="D32" s="132"/>
      <c r="E32" s="132"/>
      <c r="F32" s="160"/>
      <c r="G32" s="160"/>
      <c r="H32" s="160"/>
      <c r="I32" s="160"/>
      <c r="J32" s="133"/>
    </row>
    <row r="33" spans="1:10" ht="12.75">
      <c r="A33" s="131"/>
      <c r="B33" s="132"/>
      <c r="C33" s="132"/>
      <c r="D33" s="132"/>
      <c r="E33" s="132"/>
      <c r="F33" s="160"/>
      <c r="G33" s="160"/>
      <c r="H33" s="160"/>
      <c r="I33" s="160"/>
      <c r="J33" s="133"/>
    </row>
    <row r="34" spans="1:10" ht="12.75">
      <c r="A34" s="131"/>
      <c r="B34" s="132"/>
      <c r="C34" s="132"/>
      <c r="D34" s="132"/>
      <c r="E34" s="132"/>
      <c r="F34" s="160"/>
      <c r="G34" s="160"/>
      <c r="H34" s="160"/>
      <c r="I34" s="160"/>
      <c r="J34" s="133"/>
    </row>
    <row r="35" spans="1:10" ht="12.75">
      <c r="A35" s="131"/>
      <c r="B35" s="132"/>
      <c r="C35" s="132"/>
      <c r="D35" s="132"/>
      <c r="E35" s="132"/>
      <c r="F35" s="160"/>
      <c r="G35" s="160"/>
      <c r="H35" s="160"/>
      <c r="I35" s="160"/>
      <c r="J35" s="133"/>
    </row>
    <row r="37" spans="1:10" ht="13.5" thickBot="1">
      <c r="A37" s="158" t="s">
        <v>205</v>
      </c>
      <c r="B37" s="158"/>
      <c r="C37" s="159" t="str">
        <f>VLOOKUP(H37,AccNames,2,0)</f>
        <v>Supplies</v>
      </c>
      <c r="D37" s="158"/>
      <c r="E37" s="158"/>
      <c r="F37" s="158"/>
      <c r="G37" s="158" t="s">
        <v>206</v>
      </c>
      <c r="H37" s="159">
        <f>Assumptions!B6</f>
        <v>115</v>
      </c>
      <c r="I37" s="158"/>
      <c r="J37" s="158"/>
    </row>
    <row r="38" spans="1:10" ht="14.25" thickBot="1" thickTop="1">
      <c r="A38" s="258"/>
      <c r="B38" s="260" t="s">
        <v>17</v>
      </c>
      <c r="C38" s="261"/>
      <c r="D38" s="260" t="s">
        <v>207</v>
      </c>
      <c r="E38" s="260" t="s">
        <v>177</v>
      </c>
      <c r="F38" s="264" t="s">
        <v>38</v>
      </c>
      <c r="G38" s="264" t="s">
        <v>39</v>
      </c>
      <c r="H38" s="266" t="s">
        <v>208</v>
      </c>
      <c r="I38" s="267"/>
      <c r="J38" s="268"/>
    </row>
    <row r="39" spans="1:10" ht="13.5" thickTop="1">
      <c r="A39" s="259"/>
      <c r="B39" s="262"/>
      <c r="C39" s="263"/>
      <c r="D39" s="262"/>
      <c r="E39" s="262"/>
      <c r="F39" s="265"/>
      <c r="G39" s="265"/>
      <c r="H39" s="145" t="s">
        <v>38</v>
      </c>
      <c r="I39" s="145" t="s">
        <v>39</v>
      </c>
      <c r="J39" s="269"/>
    </row>
    <row r="40" spans="1:10" ht="12.75">
      <c r="A40" s="131"/>
      <c r="B40" s="132" t="str">
        <f>Assumptions!$G$31</f>
        <v>2006</v>
      </c>
      <c r="C40" s="132"/>
      <c r="D40" s="132"/>
      <c r="E40" s="132"/>
      <c r="F40" s="160"/>
      <c r="G40" s="160"/>
      <c r="H40" s="160"/>
      <c r="I40" s="160"/>
      <c r="J40" s="133"/>
    </row>
    <row r="41" spans="1:10" ht="12.75">
      <c r="A41" s="131"/>
      <c r="B41" s="132" t="str">
        <f>Assumptions!$G$32</f>
        <v>Jan.</v>
      </c>
      <c r="C41" s="180" t="str">
        <f>Assumptions!$G$33</f>
        <v>1</v>
      </c>
      <c r="D41" s="132" t="s">
        <v>152</v>
      </c>
      <c r="E41" s="161" t="s">
        <v>209</v>
      </c>
      <c r="F41" s="160"/>
      <c r="G41" s="160"/>
      <c r="H41" s="160">
        <f>Assumptions!D6</f>
        <v>592</v>
      </c>
      <c r="I41" s="160"/>
      <c r="J41" s="133"/>
    </row>
    <row r="42" spans="1:10" ht="12.75">
      <c r="A42" s="131"/>
      <c r="B42" s="132"/>
      <c r="C42" s="132"/>
      <c r="D42" s="132"/>
      <c r="E42" s="132"/>
      <c r="F42" s="160"/>
      <c r="G42" s="160"/>
      <c r="H42" s="160"/>
      <c r="I42" s="160"/>
      <c r="J42" s="133"/>
    </row>
    <row r="43" spans="1:10" ht="12.75">
      <c r="A43" s="131"/>
      <c r="B43" s="132"/>
      <c r="C43" s="132"/>
      <c r="D43" s="132"/>
      <c r="E43" s="132"/>
      <c r="F43" s="160"/>
      <c r="G43" s="160"/>
      <c r="H43" s="160"/>
      <c r="I43" s="160"/>
      <c r="J43" s="133"/>
    </row>
    <row r="44" spans="1:10" ht="12.75">
      <c r="A44" s="131"/>
      <c r="B44" s="132"/>
      <c r="C44" s="132"/>
      <c r="D44" s="132"/>
      <c r="E44" s="132"/>
      <c r="F44" s="160"/>
      <c r="G44" s="160"/>
      <c r="H44" s="160"/>
      <c r="I44" s="160"/>
      <c r="J44" s="133"/>
    </row>
    <row r="45" spans="1:10" ht="12.75">
      <c r="A45" s="131"/>
      <c r="B45" s="132"/>
      <c r="C45" s="132"/>
      <c r="D45" s="132"/>
      <c r="E45" s="132"/>
      <c r="F45" s="160"/>
      <c r="G45" s="160"/>
      <c r="H45" s="160"/>
      <c r="I45" s="160"/>
      <c r="J45" s="133"/>
    </row>
    <row r="46" spans="1:10" ht="12.75">
      <c r="A46" s="131"/>
      <c r="B46" s="132"/>
      <c r="C46" s="132"/>
      <c r="D46" s="132"/>
      <c r="E46" s="132"/>
      <c r="F46" s="160"/>
      <c r="G46" s="160"/>
      <c r="H46" s="160"/>
      <c r="I46" s="160"/>
      <c r="J46" s="133"/>
    </row>
    <row r="47" spans="1:10" ht="12.75">
      <c r="A47" s="131"/>
      <c r="B47" s="132"/>
      <c r="C47" s="132"/>
      <c r="D47" s="132"/>
      <c r="E47" s="132"/>
      <c r="F47" s="160"/>
      <c r="G47" s="160"/>
      <c r="H47" s="160"/>
      <c r="I47" s="160"/>
      <c r="J47" s="133"/>
    </row>
    <row r="49" spans="1:10" ht="13.5" thickBot="1">
      <c r="A49" s="158" t="s">
        <v>205</v>
      </c>
      <c r="B49" s="158"/>
      <c r="C49" s="159" t="str">
        <f>VLOOKUP(H49,AccNames,2,0)</f>
        <v>Prepaid Insurance</v>
      </c>
      <c r="D49" s="158"/>
      <c r="E49" s="158"/>
      <c r="F49" s="158"/>
      <c r="G49" s="158" t="s">
        <v>206</v>
      </c>
      <c r="H49" s="159">
        <f>Assumptions!B7</f>
        <v>116</v>
      </c>
      <c r="I49" s="158"/>
      <c r="J49" s="158"/>
    </row>
    <row r="50" spans="1:10" ht="14.25" thickBot="1" thickTop="1">
      <c r="A50" s="258"/>
      <c r="B50" s="260" t="s">
        <v>17</v>
      </c>
      <c r="C50" s="261"/>
      <c r="D50" s="260" t="s">
        <v>207</v>
      </c>
      <c r="E50" s="260" t="s">
        <v>177</v>
      </c>
      <c r="F50" s="264" t="s">
        <v>38</v>
      </c>
      <c r="G50" s="264" t="s">
        <v>39</v>
      </c>
      <c r="H50" s="266" t="s">
        <v>208</v>
      </c>
      <c r="I50" s="267"/>
      <c r="J50" s="268"/>
    </row>
    <row r="51" spans="1:10" ht="13.5" thickTop="1">
      <c r="A51" s="259"/>
      <c r="B51" s="262"/>
      <c r="C51" s="263"/>
      <c r="D51" s="262"/>
      <c r="E51" s="262"/>
      <c r="F51" s="265"/>
      <c r="G51" s="265"/>
      <c r="H51" s="145" t="s">
        <v>38</v>
      </c>
      <c r="I51" s="145" t="s">
        <v>39</v>
      </c>
      <c r="J51" s="269"/>
    </row>
    <row r="52" spans="1:10" ht="12.75">
      <c r="A52" s="131"/>
      <c r="B52" s="132" t="str">
        <f>Assumptions!$G$31</f>
        <v>2006</v>
      </c>
      <c r="C52" s="132"/>
      <c r="D52" s="132"/>
      <c r="E52" s="132"/>
      <c r="F52" s="160"/>
      <c r="G52" s="160"/>
      <c r="H52" s="160"/>
      <c r="I52" s="160"/>
      <c r="J52" s="133"/>
    </row>
    <row r="53" spans="1:10" ht="12.75">
      <c r="A53" s="131"/>
      <c r="B53" s="132" t="str">
        <f>Assumptions!$G$32</f>
        <v>Jan.</v>
      </c>
      <c r="C53" s="180" t="str">
        <f>Assumptions!$G$33</f>
        <v>1</v>
      </c>
      <c r="D53" s="132" t="s">
        <v>152</v>
      </c>
      <c r="E53" s="161" t="s">
        <v>209</v>
      </c>
      <c r="F53" s="160"/>
      <c r="G53" s="160"/>
      <c r="H53" s="160">
        <f>Assumptions!D7</f>
        <v>390</v>
      </c>
      <c r="I53" s="160"/>
      <c r="J53" s="133"/>
    </row>
    <row r="54" spans="1:10" ht="12.75">
      <c r="A54" s="131"/>
      <c r="B54" s="132"/>
      <c r="C54" s="132"/>
      <c r="D54" s="132"/>
      <c r="E54" s="132"/>
      <c r="F54" s="160"/>
      <c r="G54" s="160"/>
      <c r="H54" s="160"/>
      <c r="I54" s="160"/>
      <c r="J54" s="133"/>
    </row>
    <row r="55" spans="1:10" ht="12.75">
      <c r="A55" s="131"/>
      <c r="B55" s="132"/>
      <c r="C55" s="132"/>
      <c r="D55" s="132"/>
      <c r="E55" s="132"/>
      <c r="F55" s="160"/>
      <c r="G55" s="160"/>
      <c r="H55" s="160"/>
      <c r="I55" s="160"/>
      <c r="J55" s="133"/>
    </row>
    <row r="56" spans="1:10" ht="12.75">
      <c r="A56" s="131"/>
      <c r="B56" s="132"/>
      <c r="C56" s="132"/>
      <c r="D56" s="132"/>
      <c r="E56" s="132"/>
      <c r="F56" s="160"/>
      <c r="G56" s="160"/>
      <c r="H56" s="160"/>
      <c r="I56" s="160"/>
      <c r="J56" s="133"/>
    </row>
    <row r="57" spans="1:10" ht="12.75">
      <c r="A57" s="131"/>
      <c r="B57" s="132"/>
      <c r="C57" s="132"/>
      <c r="D57" s="132"/>
      <c r="E57" s="132"/>
      <c r="F57" s="160"/>
      <c r="G57" s="160"/>
      <c r="H57" s="160"/>
      <c r="I57" s="160"/>
      <c r="J57" s="133"/>
    </row>
    <row r="58" spans="1:10" ht="12.75">
      <c r="A58" s="131"/>
      <c r="B58" s="132"/>
      <c r="C58" s="132"/>
      <c r="D58" s="132"/>
      <c r="E58" s="132"/>
      <c r="F58" s="160"/>
      <c r="G58" s="160"/>
      <c r="H58" s="160"/>
      <c r="I58" s="160"/>
      <c r="J58" s="133"/>
    </row>
    <row r="59" spans="1:10" ht="12.75">
      <c r="A59" s="131"/>
      <c r="B59" s="132"/>
      <c r="C59" s="132"/>
      <c r="D59" s="132"/>
      <c r="E59" s="132"/>
      <c r="F59" s="160"/>
      <c r="G59" s="160"/>
      <c r="H59" s="160"/>
      <c r="I59" s="160"/>
      <c r="J59" s="133"/>
    </row>
    <row r="61" spans="1:10" ht="13.5" thickBot="1">
      <c r="A61" s="158" t="s">
        <v>205</v>
      </c>
      <c r="B61" s="158"/>
      <c r="C61" s="159" t="str">
        <f>VLOOKUP(H61,AccNames,2,0)</f>
        <v>Equipment</v>
      </c>
      <c r="D61" s="158"/>
      <c r="E61" s="158"/>
      <c r="F61" s="158"/>
      <c r="G61" s="158" t="s">
        <v>206</v>
      </c>
      <c r="H61" s="159">
        <f>Assumptions!B8</f>
        <v>121</v>
      </c>
      <c r="I61" s="158"/>
      <c r="J61" s="158"/>
    </row>
    <row r="62" spans="1:10" ht="14.25" thickBot="1" thickTop="1">
      <c r="A62" s="258"/>
      <c r="B62" s="260" t="s">
        <v>17</v>
      </c>
      <c r="C62" s="261"/>
      <c r="D62" s="260" t="s">
        <v>207</v>
      </c>
      <c r="E62" s="260" t="s">
        <v>177</v>
      </c>
      <c r="F62" s="264" t="s">
        <v>38</v>
      </c>
      <c r="G62" s="264" t="s">
        <v>39</v>
      </c>
      <c r="H62" s="266" t="s">
        <v>208</v>
      </c>
      <c r="I62" s="267"/>
      <c r="J62" s="268"/>
    </row>
    <row r="63" spans="1:10" ht="13.5" thickTop="1">
      <c r="A63" s="259"/>
      <c r="B63" s="262"/>
      <c r="C63" s="263"/>
      <c r="D63" s="262"/>
      <c r="E63" s="262"/>
      <c r="F63" s="265"/>
      <c r="G63" s="265"/>
      <c r="H63" s="145" t="s">
        <v>38</v>
      </c>
      <c r="I63" s="145" t="s">
        <v>39</v>
      </c>
      <c r="J63" s="269"/>
    </row>
    <row r="64" spans="1:10" ht="12.75">
      <c r="A64" s="131"/>
      <c r="B64" s="132" t="str">
        <f>Assumptions!$G$31</f>
        <v>2006</v>
      </c>
      <c r="C64" s="132"/>
      <c r="D64" s="132"/>
      <c r="E64" s="132"/>
      <c r="F64" s="160"/>
      <c r="G64" s="160"/>
      <c r="H64" s="160"/>
      <c r="I64" s="160"/>
      <c r="J64" s="133"/>
    </row>
    <row r="65" spans="1:10" ht="12.75">
      <c r="A65" s="131"/>
      <c r="B65" s="132" t="str">
        <f>Assumptions!$G$32</f>
        <v>Jan.</v>
      </c>
      <c r="C65" s="180" t="str">
        <f>Assumptions!$G$33</f>
        <v>1</v>
      </c>
      <c r="D65" s="132" t="s">
        <v>152</v>
      </c>
      <c r="E65" s="161" t="s">
        <v>209</v>
      </c>
      <c r="F65" s="160"/>
      <c r="G65" s="160"/>
      <c r="H65" s="160">
        <f>Assumptions!D8</f>
        <v>3644</v>
      </c>
      <c r="I65" s="160"/>
      <c r="J65" s="133"/>
    </row>
    <row r="66" spans="1:10" ht="12.75">
      <c r="A66" s="131"/>
      <c r="B66" s="132"/>
      <c r="C66" s="132"/>
      <c r="D66" s="132"/>
      <c r="E66" s="132"/>
      <c r="F66" s="160"/>
      <c r="G66" s="160"/>
      <c r="H66" s="160"/>
      <c r="I66" s="160"/>
      <c r="J66" s="133"/>
    </row>
    <row r="67" spans="1:10" ht="12.75">
      <c r="A67" s="131"/>
      <c r="B67" s="132"/>
      <c r="C67" s="132"/>
      <c r="D67" s="132"/>
      <c r="E67" s="132"/>
      <c r="F67" s="160"/>
      <c r="G67" s="160"/>
      <c r="H67" s="160"/>
      <c r="I67" s="160"/>
      <c r="J67" s="133"/>
    </row>
    <row r="68" spans="1:10" ht="12.75">
      <c r="A68" s="131"/>
      <c r="B68" s="132"/>
      <c r="C68" s="132"/>
      <c r="D68" s="132"/>
      <c r="E68" s="132"/>
      <c r="F68" s="160"/>
      <c r="G68" s="160"/>
      <c r="H68" s="160"/>
      <c r="I68" s="160"/>
      <c r="J68" s="133"/>
    </row>
    <row r="69" spans="1:10" ht="12.75">
      <c r="A69" s="131"/>
      <c r="B69" s="132"/>
      <c r="C69" s="132"/>
      <c r="D69" s="132"/>
      <c r="E69" s="132"/>
      <c r="F69" s="160"/>
      <c r="G69" s="160"/>
      <c r="H69" s="160"/>
      <c r="I69" s="160"/>
      <c r="J69" s="133"/>
    </row>
    <row r="70" spans="1:10" ht="12.75">
      <c r="A70" s="131"/>
      <c r="B70" s="132"/>
      <c r="C70" s="132"/>
      <c r="D70" s="132"/>
      <c r="E70" s="132"/>
      <c r="F70" s="160"/>
      <c r="G70" s="160"/>
      <c r="H70" s="160"/>
      <c r="I70" s="160"/>
      <c r="J70" s="133"/>
    </row>
    <row r="71" spans="1:10" ht="12.75">
      <c r="A71" s="131"/>
      <c r="B71" s="132"/>
      <c r="C71" s="132"/>
      <c r="D71" s="132"/>
      <c r="E71" s="132"/>
      <c r="F71" s="160"/>
      <c r="G71" s="160"/>
      <c r="H71" s="160"/>
      <c r="I71" s="160"/>
      <c r="J71" s="133"/>
    </row>
    <row r="73" spans="1:10" ht="13.5" thickBot="1">
      <c r="A73" s="158" t="s">
        <v>205</v>
      </c>
      <c r="B73" s="158"/>
      <c r="C73" s="159" t="str">
        <f>VLOOKUP(H73,AccNames,2,0)</f>
        <v>Accounts Payable</v>
      </c>
      <c r="D73" s="158"/>
      <c r="E73" s="158"/>
      <c r="F73" s="158"/>
      <c r="G73" s="158" t="s">
        <v>206</v>
      </c>
      <c r="H73" s="159">
        <f>Assumptions!B9</f>
        <v>212</v>
      </c>
      <c r="I73" s="158"/>
      <c r="J73" s="158"/>
    </row>
    <row r="74" spans="1:10" ht="14.25" thickBot="1" thickTop="1">
      <c r="A74" s="258"/>
      <c r="B74" s="260" t="s">
        <v>17</v>
      </c>
      <c r="C74" s="261"/>
      <c r="D74" s="260" t="s">
        <v>207</v>
      </c>
      <c r="E74" s="260" t="s">
        <v>177</v>
      </c>
      <c r="F74" s="264" t="s">
        <v>38</v>
      </c>
      <c r="G74" s="264" t="s">
        <v>39</v>
      </c>
      <c r="H74" s="266" t="s">
        <v>208</v>
      </c>
      <c r="I74" s="267"/>
      <c r="J74" s="268"/>
    </row>
    <row r="75" spans="1:10" ht="13.5" thickTop="1">
      <c r="A75" s="259"/>
      <c r="B75" s="262"/>
      <c r="C75" s="263"/>
      <c r="D75" s="262"/>
      <c r="E75" s="262"/>
      <c r="F75" s="265"/>
      <c r="G75" s="265"/>
      <c r="H75" s="145" t="s">
        <v>38</v>
      </c>
      <c r="I75" s="145" t="s">
        <v>39</v>
      </c>
      <c r="J75" s="269"/>
    </row>
    <row r="76" spans="1:10" ht="12.75">
      <c r="A76" s="131"/>
      <c r="B76" s="132" t="str">
        <f>Assumptions!$G$31</f>
        <v>2006</v>
      </c>
      <c r="C76" s="132"/>
      <c r="D76" s="132"/>
      <c r="E76" s="132"/>
      <c r="F76" s="160"/>
      <c r="G76" s="160"/>
      <c r="H76" s="160"/>
      <c r="I76" s="160"/>
      <c r="J76" s="133"/>
    </row>
    <row r="77" spans="1:10" ht="12.75">
      <c r="A77" s="131"/>
      <c r="B77" s="132" t="str">
        <f>Assumptions!$G$32</f>
        <v>Jan.</v>
      </c>
      <c r="C77" s="180" t="str">
        <f>Assumptions!$G$33</f>
        <v>1</v>
      </c>
      <c r="D77" s="132" t="s">
        <v>152</v>
      </c>
      <c r="E77" s="161" t="s">
        <v>209</v>
      </c>
      <c r="F77" s="160"/>
      <c r="G77" s="160"/>
      <c r="H77" s="160"/>
      <c r="I77" s="160">
        <f>Assumptions!E9</f>
        <v>600</v>
      </c>
      <c r="J77" s="133"/>
    </row>
    <row r="78" spans="1:10" ht="12.75">
      <c r="A78" s="131"/>
      <c r="B78" s="132"/>
      <c r="C78" s="132"/>
      <c r="D78" s="132"/>
      <c r="E78" s="132"/>
      <c r="F78" s="160"/>
      <c r="G78" s="160"/>
      <c r="H78" s="160"/>
      <c r="I78" s="160"/>
      <c r="J78" s="133"/>
    </row>
    <row r="79" spans="1:10" ht="12.75">
      <c r="A79" s="131"/>
      <c r="B79" s="132"/>
      <c r="C79" s="132"/>
      <c r="D79" s="132"/>
      <c r="E79" s="132"/>
      <c r="F79" s="160"/>
      <c r="G79" s="160"/>
      <c r="H79" s="160"/>
      <c r="I79" s="160"/>
      <c r="J79" s="133"/>
    </row>
    <row r="80" spans="1:10" ht="12.75">
      <c r="A80" s="131"/>
      <c r="B80" s="132"/>
      <c r="C80" s="132"/>
      <c r="D80" s="132"/>
      <c r="E80" s="132"/>
      <c r="F80" s="160"/>
      <c r="G80" s="160"/>
      <c r="H80" s="160"/>
      <c r="I80" s="160"/>
      <c r="J80" s="133"/>
    </row>
    <row r="81" spans="1:10" ht="12.75">
      <c r="A81" s="131"/>
      <c r="B81" s="132"/>
      <c r="C81" s="132"/>
      <c r="D81" s="132"/>
      <c r="E81" s="132"/>
      <c r="F81" s="160"/>
      <c r="G81" s="160"/>
      <c r="H81" s="160"/>
      <c r="I81" s="160"/>
      <c r="J81" s="133"/>
    </row>
    <row r="82" spans="1:10" ht="12.75">
      <c r="A82" s="131"/>
      <c r="B82" s="132"/>
      <c r="C82" s="132"/>
      <c r="D82" s="132"/>
      <c r="E82" s="132"/>
      <c r="F82" s="160"/>
      <c r="G82" s="160"/>
      <c r="H82" s="160"/>
      <c r="I82" s="160"/>
      <c r="J82" s="133"/>
    </row>
    <row r="83" spans="1:10" ht="12.75">
      <c r="A83" s="131"/>
      <c r="B83" s="132"/>
      <c r="C83" s="132"/>
      <c r="D83" s="132"/>
      <c r="E83" s="132"/>
      <c r="F83" s="160"/>
      <c r="G83" s="160"/>
      <c r="H83" s="160"/>
      <c r="I83" s="160"/>
      <c r="J83" s="133"/>
    </row>
    <row r="85" spans="1:10" ht="13.5" thickBot="1">
      <c r="A85" s="158" t="s">
        <v>205</v>
      </c>
      <c r="B85" s="158"/>
      <c r="C85" s="159" t="str">
        <f>VLOOKUP(H85,AccNames,2,0)</f>
        <v>Salaries Payable</v>
      </c>
      <c r="D85" s="158"/>
      <c r="E85" s="158"/>
      <c r="F85" s="158"/>
      <c r="G85" s="158" t="s">
        <v>206</v>
      </c>
      <c r="H85" s="159">
        <f>Assumptions!B10</f>
        <v>215</v>
      </c>
      <c r="I85" s="158"/>
      <c r="J85" s="158"/>
    </row>
    <row r="86" spans="1:10" ht="14.25" thickBot="1" thickTop="1">
      <c r="A86" s="258"/>
      <c r="B86" s="260" t="s">
        <v>17</v>
      </c>
      <c r="C86" s="261"/>
      <c r="D86" s="260" t="s">
        <v>207</v>
      </c>
      <c r="E86" s="260" t="s">
        <v>177</v>
      </c>
      <c r="F86" s="264" t="s">
        <v>38</v>
      </c>
      <c r="G86" s="264" t="s">
        <v>39</v>
      </c>
      <c r="H86" s="266" t="s">
        <v>208</v>
      </c>
      <c r="I86" s="267"/>
      <c r="J86" s="268"/>
    </row>
    <row r="87" spans="1:10" ht="13.5" thickTop="1">
      <c r="A87" s="259"/>
      <c r="B87" s="262"/>
      <c r="C87" s="263"/>
      <c r="D87" s="262"/>
      <c r="E87" s="262"/>
      <c r="F87" s="265"/>
      <c r="G87" s="265"/>
      <c r="H87" s="145" t="s">
        <v>38</v>
      </c>
      <c r="I87" s="145" t="s">
        <v>39</v>
      </c>
      <c r="J87" s="269"/>
    </row>
    <row r="88" spans="1:10" ht="12.75">
      <c r="A88" s="131"/>
      <c r="B88" s="132" t="str">
        <f>Assumptions!$G$31</f>
        <v>2006</v>
      </c>
      <c r="C88" s="132"/>
      <c r="D88" s="132"/>
      <c r="E88" s="132"/>
      <c r="F88" s="160"/>
      <c r="G88" s="160"/>
      <c r="H88" s="160"/>
      <c r="I88" s="160"/>
      <c r="J88" s="133"/>
    </row>
    <row r="89" spans="1:10" ht="12.75">
      <c r="A89" s="131"/>
      <c r="B89" s="132" t="str">
        <f>Assumptions!$G$32</f>
        <v>Jan.</v>
      </c>
      <c r="C89" s="132"/>
      <c r="D89" s="132"/>
      <c r="E89" s="162"/>
      <c r="F89" s="160"/>
      <c r="G89" s="160"/>
      <c r="H89" s="160"/>
      <c r="I89" s="160"/>
      <c r="J89" s="133"/>
    </row>
    <row r="90" spans="1:10" ht="12.75">
      <c r="A90" s="131"/>
      <c r="B90" s="132"/>
      <c r="C90" s="132"/>
      <c r="D90" s="132"/>
      <c r="E90" s="132"/>
      <c r="F90" s="160"/>
      <c r="G90" s="160"/>
      <c r="H90" s="160"/>
      <c r="I90" s="160"/>
      <c r="J90" s="133"/>
    </row>
    <row r="91" spans="1:10" ht="12.75">
      <c r="A91" s="131"/>
      <c r="B91" s="132"/>
      <c r="C91" s="132"/>
      <c r="D91" s="132"/>
      <c r="E91" s="132"/>
      <c r="F91" s="160"/>
      <c r="G91" s="160"/>
      <c r="H91" s="160"/>
      <c r="I91" s="160"/>
      <c r="J91" s="133"/>
    </row>
    <row r="92" spans="1:10" ht="12.75">
      <c r="A92" s="131"/>
      <c r="B92" s="132"/>
      <c r="C92" s="132"/>
      <c r="D92" s="132"/>
      <c r="E92" s="132"/>
      <c r="F92" s="160"/>
      <c r="G92" s="160"/>
      <c r="H92" s="160"/>
      <c r="I92" s="160"/>
      <c r="J92" s="133"/>
    </row>
    <row r="93" spans="1:10" ht="12.75">
      <c r="A93" s="131"/>
      <c r="B93" s="132"/>
      <c r="C93" s="132"/>
      <c r="D93" s="132"/>
      <c r="E93" s="132"/>
      <c r="F93" s="160"/>
      <c r="G93" s="160"/>
      <c r="H93" s="160"/>
      <c r="I93" s="160"/>
      <c r="J93" s="133"/>
    </row>
    <row r="94" spans="1:10" ht="12.75">
      <c r="A94" s="131"/>
      <c r="B94" s="132"/>
      <c r="C94" s="132"/>
      <c r="D94" s="132"/>
      <c r="E94" s="132"/>
      <c r="F94" s="160"/>
      <c r="G94" s="160"/>
      <c r="H94" s="160"/>
      <c r="I94" s="160"/>
      <c r="J94" s="133"/>
    </row>
    <row r="95" spans="1:10" ht="12.75">
      <c r="A95" s="131"/>
      <c r="B95" s="132"/>
      <c r="C95" s="132"/>
      <c r="D95" s="132"/>
      <c r="E95" s="132"/>
      <c r="F95" s="160"/>
      <c r="G95" s="160"/>
      <c r="H95" s="160"/>
      <c r="I95" s="160"/>
      <c r="J95" s="133"/>
    </row>
    <row r="97" spans="1:10" ht="13.5" thickBot="1">
      <c r="A97" s="158" t="s">
        <v>205</v>
      </c>
      <c r="B97" s="158"/>
      <c r="C97" s="159" t="str">
        <f>VLOOKUP(H97,AccNames,2,0)</f>
        <v>Employees' Federal Tax Payable</v>
      </c>
      <c r="D97" s="158"/>
      <c r="E97" s="158"/>
      <c r="F97" s="158"/>
      <c r="G97" s="158" t="s">
        <v>206</v>
      </c>
      <c r="H97" s="159">
        <f>Assumptions!B11</f>
        <v>216</v>
      </c>
      <c r="I97" s="158"/>
      <c r="J97" s="158"/>
    </row>
    <row r="98" spans="1:10" ht="14.25" thickBot="1" thickTop="1">
      <c r="A98" s="258"/>
      <c r="B98" s="260" t="s">
        <v>17</v>
      </c>
      <c r="C98" s="261"/>
      <c r="D98" s="260" t="s">
        <v>207</v>
      </c>
      <c r="E98" s="260" t="s">
        <v>177</v>
      </c>
      <c r="F98" s="264" t="s">
        <v>38</v>
      </c>
      <c r="G98" s="264" t="s">
        <v>39</v>
      </c>
      <c r="H98" s="266" t="s">
        <v>208</v>
      </c>
      <c r="I98" s="267"/>
      <c r="J98" s="268"/>
    </row>
    <row r="99" spans="1:10" ht="13.5" thickTop="1">
      <c r="A99" s="259"/>
      <c r="B99" s="262"/>
      <c r="C99" s="263"/>
      <c r="D99" s="262"/>
      <c r="E99" s="262"/>
      <c r="F99" s="265"/>
      <c r="G99" s="265"/>
      <c r="H99" s="145" t="s">
        <v>38</v>
      </c>
      <c r="I99" s="145" t="s">
        <v>39</v>
      </c>
      <c r="J99" s="269"/>
    </row>
    <row r="100" spans="1:10" ht="12.75">
      <c r="A100" s="131"/>
      <c r="B100" s="132" t="str">
        <f>Assumptions!$G$31</f>
        <v>2006</v>
      </c>
      <c r="C100" s="132"/>
      <c r="D100" s="132"/>
      <c r="E100" s="132"/>
      <c r="F100" s="160"/>
      <c r="G100" s="160"/>
      <c r="H100" s="160"/>
      <c r="I100" s="160"/>
      <c r="J100" s="133"/>
    </row>
    <row r="101" spans="1:10" ht="12.75">
      <c r="A101" s="131"/>
      <c r="B101" s="132" t="str">
        <f>Assumptions!$G$32</f>
        <v>Jan.</v>
      </c>
      <c r="C101" s="132"/>
      <c r="D101" s="132"/>
      <c r="E101" s="162"/>
      <c r="F101" s="160"/>
      <c r="G101" s="160"/>
      <c r="H101" s="160"/>
      <c r="I101" s="160"/>
      <c r="J101" s="133"/>
    </row>
    <row r="102" spans="1:10" ht="12.75">
      <c r="A102" s="131"/>
      <c r="B102" s="132"/>
      <c r="C102" s="132"/>
      <c r="D102" s="132"/>
      <c r="E102" s="132"/>
      <c r="F102" s="160"/>
      <c r="G102" s="160"/>
      <c r="H102" s="160"/>
      <c r="I102" s="160"/>
      <c r="J102" s="133"/>
    </row>
    <row r="103" spans="1:10" ht="12.75">
      <c r="A103" s="131"/>
      <c r="B103" s="132"/>
      <c r="C103" s="132"/>
      <c r="D103" s="132"/>
      <c r="E103" s="132"/>
      <c r="F103" s="160"/>
      <c r="G103" s="160"/>
      <c r="H103" s="160"/>
      <c r="I103" s="160"/>
      <c r="J103" s="133"/>
    </row>
    <row r="104" spans="1:10" ht="12.75">
      <c r="A104" s="131"/>
      <c r="B104" s="132"/>
      <c r="C104" s="132"/>
      <c r="D104" s="132"/>
      <c r="E104" s="132"/>
      <c r="F104" s="160"/>
      <c r="G104" s="160"/>
      <c r="H104" s="160"/>
      <c r="I104" s="160"/>
      <c r="J104" s="133"/>
    </row>
    <row r="105" spans="1:10" ht="12.75">
      <c r="A105" s="131"/>
      <c r="B105" s="132"/>
      <c r="C105" s="132"/>
      <c r="D105" s="132"/>
      <c r="E105" s="132"/>
      <c r="F105" s="160"/>
      <c r="G105" s="160"/>
      <c r="H105" s="160"/>
      <c r="I105" s="160"/>
      <c r="J105" s="133"/>
    </row>
    <row r="106" spans="1:10" ht="12.75">
      <c r="A106" s="131"/>
      <c r="B106" s="132"/>
      <c r="C106" s="132"/>
      <c r="D106" s="132"/>
      <c r="E106" s="132"/>
      <c r="F106" s="160"/>
      <c r="G106" s="160"/>
      <c r="H106" s="160"/>
      <c r="I106" s="160"/>
      <c r="J106" s="133"/>
    </row>
    <row r="107" spans="1:10" ht="12.75">
      <c r="A107" s="131"/>
      <c r="B107" s="132"/>
      <c r="C107" s="132"/>
      <c r="D107" s="132"/>
      <c r="E107" s="132"/>
      <c r="F107" s="160"/>
      <c r="G107" s="160"/>
      <c r="H107" s="160"/>
      <c r="I107" s="160"/>
      <c r="J107" s="133"/>
    </row>
    <row r="109" spans="1:10" ht="13.5" thickBot="1">
      <c r="A109" s="158" t="s">
        <v>205</v>
      </c>
      <c r="B109" s="158"/>
      <c r="C109" s="159" t="str">
        <f>VLOOKUP(H109,AccNames,2,0)</f>
        <v>FICA Payable</v>
      </c>
      <c r="D109" s="158"/>
      <c r="E109" s="158"/>
      <c r="F109" s="158"/>
      <c r="G109" s="158" t="s">
        <v>206</v>
      </c>
      <c r="H109" s="159">
        <f>Assumptions!B12</f>
        <v>217</v>
      </c>
      <c r="I109" s="158"/>
      <c r="J109" s="158"/>
    </row>
    <row r="110" spans="1:10" ht="14.25" thickBot="1" thickTop="1">
      <c r="A110" s="258"/>
      <c r="B110" s="260" t="s">
        <v>17</v>
      </c>
      <c r="C110" s="261"/>
      <c r="D110" s="260" t="s">
        <v>207</v>
      </c>
      <c r="E110" s="260" t="s">
        <v>177</v>
      </c>
      <c r="F110" s="264" t="s">
        <v>38</v>
      </c>
      <c r="G110" s="264" t="s">
        <v>39</v>
      </c>
      <c r="H110" s="266" t="s">
        <v>208</v>
      </c>
      <c r="I110" s="267"/>
      <c r="J110" s="268"/>
    </row>
    <row r="111" spans="1:10" ht="13.5" thickTop="1">
      <c r="A111" s="259"/>
      <c r="B111" s="262"/>
      <c r="C111" s="263"/>
      <c r="D111" s="262"/>
      <c r="E111" s="262"/>
      <c r="F111" s="265"/>
      <c r="G111" s="265"/>
      <c r="H111" s="145" t="s">
        <v>38</v>
      </c>
      <c r="I111" s="145" t="s">
        <v>39</v>
      </c>
      <c r="J111" s="269"/>
    </row>
    <row r="112" spans="1:10" ht="12.75">
      <c r="A112" s="131"/>
      <c r="B112" s="132" t="str">
        <f>Assumptions!$G$31</f>
        <v>2006</v>
      </c>
      <c r="C112" s="132"/>
      <c r="D112" s="132"/>
      <c r="E112" s="132"/>
      <c r="F112" s="160"/>
      <c r="G112" s="160"/>
      <c r="H112" s="160"/>
      <c r="I112" s="160"/>
      <c r="J112" s="133"/>
    </row>
    <row r="113" spans="1:10" ht="12.75">
      <c r="A113" s="131"/>
      <c r="B113" s="132" t="str">
        <f>Assumptions!$G$32</f>
        <v>Jan.</v>
      </c>
      <c r="C113" s="132"/>
      <c r="D113" s="132"/>
      <c r="E113" s="162"/>
      <c r="F113" s="160"/>
      <c r="G113" s="160"/>
      <c r="H113" s="160"/>
      <c r="I113" s="160"/>
      <c r="J113" s="133"/>
    </row>
    <row r="114" spans="1:10" ht="12.75">
      <c r="A114" s="131"/>
      <c r="B114" s="132"/>
      <c r="C114" s="132"/>
      <c r="D114" s="132"/>
      <c r="E114" s="132"/>
      <c r="F114" s="160"/>
      <c r="G114" s="160"/>
      <c r="H114" s="160"/>
      <c r="I114" s="160"/>
      <c r="J114" s="133"/>
    </row>
    <row r="115" spans="1:10" ht="12.75">
      <c r="A115" s="131"/>
      <c r="B115" s="132"/>
      <c r="C115" s="132"/>
      <c r="D115" s="132"/>
      <c r="E115" s="132"/>
      <c r="F115" s="160"/>
      <c r="G115" s="160"/>
      <c r="H115" s="160"/>
      <c r="I115" s="160"/>
      <c r="J115" s="133"/>
    </row>
    <row r="116" spans="1:10" ht="12.75">
      <c r="A116" s="131"/>
      <c r="B116" s="132"/>
      <c r="C116" s="132"/>
      <c r="D116" s="132"/>
      <c r="E116" s="132"/>
      <c r="F116" s="160"/>
      <c r="G116" s="160"/>
      <c r="H116" s="160"/>
      <c r="I116" s="160"/>
      <c r="J116" s="133"/>
    </row>
    <row r="117" spans="1:10" ht="12.75">
      <c r="A117" s="131"/>
      <c r="B117" s="132"/>
      <c r="C117" s="132"/>
      <c r="D117" s="132"/>
      <c r="E117" s="132"/>
      <c r="F117" s="160"/>
      <c r="G117" s="160"/>
      <c r="H117" s="160"/>
      <c r="I117" s="160"/>
      <c r="J117" s="133"/>
    </row>
    <row r="118" spans="1:10" ht="12.75">
      <c r="A118" s="131"/>
      <c r="B118" s="132"/>
      <c r="C118" s="132"/>
      <c r="D118" s="132"/>
      <c r="E118" s="132"/>
      <c r="F118" s="160"/>
      <c r="G118" s="160"/>
      <c r="H118" s="160"/>
      <c r="I118" s="160"/>
      <c r="J118" s="133"/>
    </row>
    <row r="119" spans="1:10" ht="12.75">
      <c r="A119" s="131"/>
      <c r="B119" s="132"/>
      <c r="C119" s="132"/>
      <c r="D119" s="132"/>
      <c r="E119" s="132"/>
      <c r="F119" s="160"/>
      <c r="G119" s="160"/>
      <c r="H119" s="160"/>
      <c r="I119" s="160"/>
      <c r="J119" s="133"/>
    </row>
    <row r="121" spans="1:10" ht="13.5" thickBot="1">
      <c r="A121" s="158" t="s">
        <v>205</v>
      </c>
      <c r="B121" s="158"/>
      <c r="C121" s="159" t="str">
        <f>VLOOKUP(H121,AccNames,2,0)</f>
        <v>SUTA Payable</v>
      </c>
      <c r="D121" s="158"/>
      <c r="E121" s="158"/>
      <c r="F121" s="158"/>
      <c r="G121" s="158" t="s">
        <v>206</v>
      </c>
      <c r="H121" s="159">
        <f>Assumptions!B13</f>
        <v>218</v>
      </c>
      <c r="I121" s="158"/>
      <c r="J121" s="158"/>
    </row>
    <row r="122" spans="1:10" ht="14.25" thickBot="1" thickTop="1">
      <c r="A122" s="258"/>
      <c r="B122" s="260" t="s">
        <v>17</v>
      </c>
      <c r="C122" s="261"/>
      <c r="D122" s="260" t="s">
        <v>207</v>
      </c>
      <c r="E122" s="260" t="s">
        <v>177</v>
      </c>
      <c r="F122" s="264" t="s">
        <v>38</v>
      </c>
      <c r="G122" s="264" t="s">
        <v>39</v>
      </c>
      <c r="H122" s="266" t="s">
        <v>208</v>
      </c>
      <c r="I122" s="267"/>
      <c r="J122" s="268"/>
    </row>
    <row r="123" spans="1:10" ht="13.5" thickTop="1">
      <c r="A123" s="259"/>
      <c r="B123" s="262"/>
      <c r="C123" s="263"/>
      <c r="D123" s="262"/>
      <c r="E123" s="262"/>
      <c r="F123" s="265"/>
      <c r="G123" s="265"/>
      <c r="H123" s="145" t="s">
        <v>38</v>
      </c>
      <c r="I123" s="145" t="s">
        <v>39</v>
      </c>
      <c r="J123" s="269"/>
    </row>
    <row r="124" spans="1:10" ht="12.75">
      <c r="A124" s="131"/>
      <c r="B124" s="132" t="str">
        <f>Assumptions!$G$31</f>
        <v>2006</v>
      </c>
      <c r="C124" s="132"/>
      <c r="D124" s="132"/>
      <c r="E124" s="132"/>
      <c r="F124" s="160"/>
      <c r="G124" s="160"/>
      <c r="H124" s="160"/>
      <c r="I124" s="160"/>
      <c r="J124" s="133"/>
    </row>
    <row r="125" spans="1:10" ht="12.75">
      <c r="A125" s="131"/>
      <c r="B125" s="132" t="str">
        <f>Assumptions!$G$32</f>
        <v>Jan.</v>
      </c>
      <c r="C125" s="132"/>
      <c r="D125" s="132"/>
      <c r="E125" s="162"/>
      <c r="F125" s="160"/>
      <c r="G125" s="160"/>
      <c r="H125" s="160"/>
      <c r="I125" s="160"/>
      <c r="J125" s="133"/>
    </row>
    <row r="126" spans="1:10" ht="12.75">
      <c r="A126" s="131"/>
      <c r="B126" s="132"/>
      <c r="C126" s="132"/>
      <c r="D126" s="132"/>
      <c r="E126" s="132"/>
      <c r="F126" s="160"/>
      <c r="G126" s="160"/>
      <c r="H126" s="160"/>
      <c r="I126" s="160"/>
      <c r="J126" s="133"/>
    </row>
    <row r="127" spans="1:10" ht="12.75">
      <c r="A127" s="131"/>
      <c r="B127" s="132"/>
      <c r="C127" s="132"/>
      <c r="D127" s="132"/>
      <c r="E127" s="132"/>
      <c r="F127" s="160"/>
      <c r="G127" s="160"/>
      <c r="H127" s="160"/>
      <c r="I127" s="160"/>
      <c r="J127" s="133"/>
    </row>
    <row r="128" spans="1:10" ht="12.75">
      <c r="A128" s="131"/>
      <c r="B128" s="132"/>
      <c r="C128" s="132"/>
      <c r="D128" s="132"/>
      <c r="E128" s="132"/>
      <c r="F128" s="160"/>
      <c r="G128" s="160"/>
      <c r="H128" s="160"/>
      <c r="I128" s="160"/>
      <c r="J128" s="133"/>
    </row>
    <row r="129" spans="1:10" ht="12.75">
      <c r="A129" s="131"/>
      <c r="B129" s="132"/>
      <c r="C129" s="132"/>
      <c r="D129" s="132"/>
      <c r="E129" s="132"/>
      <c r="F129" s="160"/>
      <c r="G129" s="160"/>
      <c r="H129" s="160"/>
      <c r="I129" s="160"/>
      <c r="J129" s="133"/>
    </row>
    <row r="130" spans="1:10" ht="12.75">
      <c r="A130" s="131"/>
      <c r="B130" s="132"/>
      <c r="C130" s="132"/>
      <c r="D130" s="132"/>
      <c r="E130" s="132"/>
      <c r="F130" s="160"/>
      <c r="G130" s="160"/>
      <c r="H130" s="160"/>
      <c r="I130" s="160"/>
      <c r="J130" s="133"/>
    </row>
    <row r="131" spans="1:10" ht="12.75">
      <c r="A131" s="131"/>
      <c r="B131" s="132"/>
      <c r="C131" s="132"/>
      <c r="D131" s="132"/>
      <c r="E131" s="132"/>
      <c r="F131" s="160"/>
      <c r="G131" s="160"/>
      <c r="H131" s="160"/>
      <c r="I131" s="160"/>
      <c r="J131" s="133"/>
    </row>
    <row r="133" spans="1:10" ht="13.5" thickBot="1">
      <c r="A133" s="158" t="s">
        <v>205</v>
      </c>
      <c r="B133" s="158"/>
      <c r="C133" s="159" t="str">
        <f>VLOOKUP(H133,AccNames,2,0)</f>
        <v>FUTA Payable</v>
      </c>
      <c r="D133" s="158"/>
      <c r="E133" s="158"/>
      <c r="F133" s="158"/>
      <c r="G133" s="158" t="s">
        <v>206</v>
      </c>
      <c r="H133" s="159">
        <f>Assumptions!B14</f>
        <v>219</v>
      </c>
      <c r="I133" s="158"/>
      <c r="J133" s="158"/>
    </row>
    <row r="134" spans="1:10" ht="14.25" thickBot="1" thickTop="1">
      <c r="A134" s="258"/>
      <c r="B134" s="260" t="s">
        <v>17</v>
      </c>
      <c r="C134" s="261"/>
      <c r="D134" s="260" t="s">
        <v>207</v>
      </c>
      <c r="E134" s="260" t="s">
        <v>177</v>
      </c>
      <c r="F134" s="264" t="s">
        <v>38</v>
      </c>
      <c r="G134" s="264" t="s">
        <v>39</v>
      </c>
      <c r="H134" s="266" t="s">
        <v>208</v>
      </c>
      <c r="I134" s="267"/>
      <c r="J134" s="268"/>
    </row>
    <row r="135" spans="1:10" ht="13.5" thickTop="1">
      <c r="A135" s="259"/>
      <c r="B135" s="262"/>
      <c r="C135" s="263"/>
      <c r="D135" s="262"/>
      <c r="E135" s="262"/>
      <c r="F135" s="265"/>
      <c r="G135" s="265"/>
      <c r="H135" s="145" t="s">
        <v>38</v>
      </c>
      <c r="I135" s="145" t="s">
        <v>39</v>
      </c>
      <c r="J135" s="269"/>
    </row>
    <row r="136" spans="1:10" ht="12.75">
      <c r="A136" s="131"/>
      <c r="B136" s="132" t="str">
        <f>Assumptions!$G$31</f>
        <v>2006</v>
      </c>
      <c r="C136" s="132"/>
      <c r="D136" s="132"/>
      <c r="E136" s="132"/>
      <c r="F136" s="160"/>
      <c r="G136" s="160"/>
      <c r="H136" s="160"/>
      <c r="I136" s="160"/>
      <c r="J136" s="133"/>
    </row>
    <row r="137" spans="1:10" ht="12.75">
      <c r="A137" s="131"/>
      <c r="B137" s="132" t="str">
        <f>Assumptions!$G$32</f>
        <v>Jan.</v>
      </c>
      <c r="C137" s="132"/>
      <c r="D137" s="132"/>
      <c r="E137" s="162"/>
      <c r="F137" s="160"/>
      <c r="G137" s="160"/>
      <c r="H137" s="160"/>
      <c r="I137" s="160"/>
      <c r="J137" s="133"/>
    </row>
    <row r="138" spans="1:10" ht="12.75">
      <c r="A138" s="131"/>
      <c r="B138" s="132"/>
      <c r="C138" s="132"/>
      <c r="D138" s="132"/>
      <c r="E138" s="132"/>
      <c r="F138" s="160"/>
      <c r="G138" s="160"/>
      <c r="H138" s="160"/>
      <c r="I138" s="160"/>
      <c r="J138" s="133"/>
    </row>
    <row r="139" spans="1:10" ht="12.75">
      <c r="A139" s="131"/>
      <c r="B139" s="132"/>
      <c r="C139" s="132"/>
      <c r="D139" s="132"/>
      <c r="E139" s="132"/>
      <c r="F139" s="160"/>
      <c r="G139" s="160"/>
      <c r="H139" s="160"/>
      <c r="I139" s="160"/>
      <c r="J139" s="133"/>
    </row>
    <row r="140" spans="1:10" ht="12.75">
      <c r="A140" s="131"/>
      <c r="B140" s="132"/>
      <c r="C140" s="132"/>
      <c r="D140" s="132"/>
      <c r="E140" s="132"/>
      <c r="F140" s="160"/>
      <c r="G140" s="160"/>
      <c r="H140" s="160"/>
      <c r="I140" s="160"/>
      <c r="J140" s="133"/>
    </row>
    <row r="141" spans="1:10" ht="12.75">
      <c r="A141" s="131"/>
      <c r="B141" s="132"/>
      <c r="C141" s="132"/>
      <c r="D141" s="132"/>
      <c r="E141" s="132"/>
      <c r="F141" s="160"/>
      <c r="G141" s="160"/>
      <c r="H141" s="160"/>
      <c r="I141" s="160"/>
      <c r="J141" s="133"/>
    </row>
    <row r="142" spans="1:10" ht="12.75">
      <c r="A142" s="131"/>
      <c r="B142" s="132"/>
      <c r="C142" s="132"/>
      <c r="D142" s="132"/>
      <c r="E142" s="132"/>
      <c r="F142" s="160"/>
      <c r="G142" s="160"/>
      <c r="H142" s="160"/>
      <c r="I142" s="160"/>
      <c r="J142" s="133"/>
    </row>
    <row r="143" spans="1:10" ht="12.75">
      <c r="A143" s="131"/>
      <c r="B143" s="132"/>
      <c r="C143" s="132"/>
      <c r="D143" s="132"/>
      <c r="E143" s="132"/>
      <c r="F143" s="160"/>
      <c r="G143" s="160"/>
      <c r="H143" s="160"/>
      <c r="I143" s="160"/>
      <c r="J143" s="133"/>
    </row>
    <row r="145" spans="1:10" ht="13.5" thickBot="1">
      <c r="A145" s="158" t="s">
        <v>205</v>
      </c>
      <c r="B145" s="158"/>
      <c r="C145" s="159" t="str">
        <f>VLOOKUP(H145,AccNames,2,0)</f>
        <v>J. Hammonds, Capital</v>
      </c>
      <c r="D145" s="158"/>
      <c r="E145" s="158"/>
      <c r="F145" s="158"/>
      <c r="G145" s="158" t="s">
        <v>206</v>
      </c>
      <c r="H145" s="159">
        <f>Assumptions!B15</f>
        <v>311</v>
      </c>
      <c r="I145" s="158"/>
      <c r="J145" s="158"/>
    </row>
    <row r="146" spans="1:10" ht="14.25" thickBot="1" thickTop="1">
      <c r="A146" s="258"/>
      <c r="B146" s="260" t="s">
        <v>17</v>
      </c>
      <c r="C146" s="261"/>
      <c r="D146" s="260" t="s">
        <v>207</v>
      </c>
      <c r="E146" s="260" t="s">
        <v>177</v>
      </c>
      <c r="F146" s="264" t="s">
        <v>38</v>
      </c>
      <c r="G146" s="264" t="s">
        <v>39</v>
      </c>
      <c r="H146" s="266" t="s">
        <v>208</v>
      </c>
      <c r="I146" s="267"/>
      <c r="J146" s="268"/>
    </row>
    <row r="147" spans="1:10" ht="13.5" thickTop="1">
      <c r="A147" s="259"/>
      <c r="B147" s="262"/>
      <c r="C147" s="263"/>
      <c r="D147" s="262"/>
      <c r="E147" s="262"/>
      <c r="F147" s="265"/>
      <c r="G147" s="265"/>
      <c r="H147" s="145" t="s">
        <v>38</v>
      </c>
      <c r="I147" s="145" t="s">
        <v>39</v>
      </c>
      <c r="J147" s="269"/>
    </row>
    <row r="148" spans="1:10" ht="12.75">
      <c r="A148" s="131"/>
      <c r="B148" s="132" t="str">
        <f>Assumptions!$G$31</f>
        <v>2006</v>
      </c>
      <c r="C148" s="132"/>
      <c r="D148" s="132"/>
      <c r="E148" s="132"/>
      <c r="F148" s="160"/>
      <c r="G148" s="160"/>
      <c r="H148" s="160"/>
      <c r="I148" s="160"/>
      <c r="J148" s="133"/>
    </row>
    <row r="149" spans="1:10" ht="12.75">
      <c r="A149" s="131"/>
      <c r="B149" s="132" t="str">
        <f>Assumptions!$G$32</f>
        <v>Jan.</v>
      </c>
      <c r="C149" s="180" t="str">
        <f>Assumptions!$G$33</f>
        <v>1</v>
      </c>
      <c r="D149" s="132" t="s">
        <v>152</v>
      </c>
      <c r="E149" s="161" t="s">
        <v>209</v>
      </c>
      <c r="F149" s="160"/>
      <c r="G149" s="160"/>
      <c r="H149" s="160"/>
      <c r="I149" s="160">
        <f>Assumptions!E15</f>
        <v>35000</v>
      </c>
      <c r="J149" s="133"/>
    </row>
    <row r="150" spans="1:10" ht="12.75">
      <c r="A150" s="131"/>
      <c r="B150" s="132"/>
      <c r="C150" s="132"/>
      <c r="D150" s="132"/>
      <c r="E150" s="132"/>
      <c r="F150" s="160"/>
      <c r="G150" s="160"/>
      <c r="H150" s="160"/>
      <c r="I150" s="160"/>
      <c r="J150" s="133"/>
    </row>
    <row r="151" spans="1:10" ht="12.75">
      <c r="A151" s="131"/>
      <c r="B151" s="132"/>
      <c r="C151" s="132"/>
      <c r="D151" s="132"/>
      <c r="E151" s="132"/>
      <c r="F151" s="160"/>
      <c r="G151" s="160"/>
      <c r="H151" s="160"/>
      <c r="I151" s="160"/>
      <c r="J151" s="133"/>
    </row>
    <row r="152" spans="1:10" ht="12.75">
      <c r="A152" s="131"/>
      <c r="B152" s="132"/>
      <c r="C152" s="132"/>
      <c r="D152" s="132"/>
      <c r="E152" s="132"/>
      <c r="F152" s="160"/>
      <c r="G152" s="160"/>
      <c r="H152" s="160"/>
      <c r="I152" s="160"/>
      <c r="J152" s="133"/>
    </row>
    <row r="153" spans="1:10" ht="12.75">
      <c r="A153" s="131"/>
      <c r="B153" s="132"/>
      <c r="C153" s="132"/>
      <c r="D153" s="132"/>
      <c r="E153" s="132"/>
      <c r="F153" s="160"/>
      <c r="G153" s="160"/>
      <c r="H153" s="160"/>
      <c r="I153" s="160"/>
      <c r="J153" s="133"/>
    </row>
    <row r="154" spans="1:10" ht="12.75">
      <c r="A154" s="131"/>
      <c r="B154" s="132"/>
      <c r="C154" s="132"/>
      <c r="D154" s="132"/>
      <c r="E154" s="132"/>
      <c r="F154" s="160"/>
      <c r="G154" s="160"/>
      <c r="H154" s="160"/>
      <c r="I154" s="160"/>
      <c r="J154" s="133"/>
    </row>
    <row r="155" spans="1:10" ht="12.75">
      <c r="A155" s="131"/>
      <c r="B155" s="132"/>
      <c r="C155" s="132"/>
      <c r="D155" s="132"/>
      <c r="E155" s="132"/>
      <c r="F155" s="160"/>
      <c r="G155" s="160"/>
      <c r="H155" s="160"/>
      <c r="I155" s="160"/>
      <c r="J155" s="133"/>
    </row>
    <row r="157" spans="1:10" ht="13.5" thickBot="1">
      <c r="A157" s="158" t="s">
        <v>205</v>
      </c>
      <c r="B157" s="158"/>
      <c r="C157" s="159" t="str">
        <f>VLOOKUP(H157,AccNames,2,0)</f>
        <v>J. Hammonds, Drawing</v>
      </c>
      <c r="D157" s="158"/>
      <c r="E157" s="158"/>
      <c r="F157" s="158"/>
      <c r="G157" s="158" t="s">
        <v>206</v>
      </c>
      <c r="H157" s="159">
        <f>Assumptions!B16</f>
        <v>312</v>
      </c>
      <c r="I157" s="158"/>
      <c r="J157" s="158"/>
    </row>
    <row r="158" spans="1:10" ht="14.25" thickBot="1" thickTop="1">
      <c r="A158" s="258"/>
      <c r="B158" s="260" t="s">
        <v>17</v>
      </c>
      <c r="C158" s="261"/>
      <c r="D158" s="260" t="s">
        <v>207</v>
      </c>
      <c r="E158" s="260" t="s">
        <v>177</v>
      </c>
      <c r="F158" s="264" t="s">
        <v>38</v>
      </c>
      <c r="G158" s="264" t="s">
        <v>39</v>
      </c>
      <c r="H158" s="266" t="s">
        <v>208</v>
      </c>
      <c r="I158" s="267"/>
      <c r="J158" s="268"/>
    </row>
    <row r="159" spans="1:10" ht="13.5" thickTop="1">
      <c r="A159" s="259"/>
      <c r="B159" s="262"/>
      <c r="C159" s="263"/>
      <c r="D159" s="262"/>
      <c r="E159" s="262"/>
      <c r="F159" s="265"/>
      <c r="G159" s="265"/>
      <c r="H159" s="145" t="s">
        <v>38</v>
      </c>
      <c r="I159" s="145" t="s">
        <v>39</v>
      </c>
      <c r="J159" s="269"/>
    </row>
    <row r="160" spans="1:10" ht="12.75">
      <c r="A160" s="131"/>
      <c r="B160" s="132" t="str">
        <f>Assumptions!$G$31</f>
        <v>2006</v>
      </c>
      <c r="C160" s="132"/>
      <c r="D160" s="132"/>
      <c r="E160" s="132"/>
      <c r="F160" s="160"/>
      <c r="G160" s="160"/>
      <c r="H160" s="160"/>
      <c r="I160" s="160"/>
      <c r="J160" s="133"/>
    </row>
    <row r="161" spans="1:10" ht="12.75">
      <c r="A161" s="131"/>
      <c r="B161" s="132" t="str">
        <f>Assumptions!$G$32</f>
        <v>Jan.</v>
      </c>
      <c r="C161" s="132"/>
      <c r="D161" s="132"/>
      <c r="E161" s="162"/>
      <c r="F161" s="160"/>
      <c r="G161" s="160"/>
      <c r="H161" s="160"/>
      <c r="I161" s="160"/>
      <c r="J161" s="133"/>
    </row>
    <row r="162" spans="1:10" ht="12.75">
      <c r="A162" s="131"/>
      <c r="B162" s="132"/>
      <c r="C162" s="132"/>
      <c r="D162" s="132"/>
      <c r="E162" s="132"/>
      <c r="F162" s="160"/>
      <c r="G162" s="160"/>
      <c r="H162" s="160"/>
      <c r="I162" s="160"/>
      <c r="J162" s="133"/>
    </row>
    <row r="163" spans="1:10" ht="12.75">
      <c r="A163" s="131"/>
      <c r="B163" s="132"/>
      <c r="C163" s="132"/>
      <c r="D163" s="132"/>
      <c r="E163" s="132"/>
      <c r="F163" s="160"/>
      <c r="G163" s="160"/>
      <c r="H163" s="160"/>
      <c r="I163" s="160"/>
      <c r="J163" s="133"/>
    </row>
    <row r="164" spans="1:10" ht="12.75">
      <c r="A164" s="131"/>
      <c r="B164" s="132"/>
      <c r="C164" s="132"/>
      <c r="D164" s="132"/>
      <c r="E164" s="132"/>
      <c r="F164" s="160"/>
      <c r="G164" s="160"/>
      <c r="H164" s="160"/>
      <c r="I164" s="160"/>
      <c r="J164" s="133"/>
    </row>
    <row r="165" spans="1:10" ht="12.75">
      <c r="A165" s="131"/>
      <c r="B165" s="132"/>
      <c r="C165" s="132"/>
      <c r="D165" s="132"/>
      <c r="E165" s="132"/>
      <c r="F165" s="160"/>
      <c r="G165" s="160"/>
      <c r="H165" s="160"/>
      <c r="I165" s="160"/>
      <c r="J165" s="133"/>
    </row>
    <row r="166" spans="1:10" ht="12.75">
      <c r="A166" s="131"/>
      <c r="B166" s="132"/>
      <c r="C166" s="132"/>
      <c r="D166" s="132"/>
      <c r="E166" s="132"/>
      <c r="F166" s="160"/>
      <c r="G166" s="160"/>
      <c r="H166" s="160"/>
      <c r="I166" s="160"/>
      <c r="J166" s="133"/>
    </row>
    <row r="167" spans="1:10" ht="12.75">
      <c r="A167" s="131"/>
      <c r="B167" s="132"/>
      <c r="C167" s="132"/>
      <c r="D167" s="132"/>
      <c r="E167" s="132"/>
      <c r="F167" s="160"/>
      <c r="G167" s="160"/>
      <c r="H167" s="160"/>
      <c r="I167" s="160"/>
      <c r="J167" s="133"/>
    </row>
    <row r="169" spans="1:10" ht="13.5" thickBot="1">
      <c r="A169" s="158" t="s">
        <v>205</v>
      </c>
      <c r="B169" s="158"/>
      <c r="C169" s="159" t="str">
        <f>VLOOKUP(H169,AccNames,2,0)</f>
        <v>Sales</v>
      </c>
      <c r="D169" s="158"/>
      <c r="E169" s="158"/>
      <c r="F169" s="158"/>
      <c r="G169" s="158" t="s">
        <v>206</v>
      </c>
      <c r="H169" s="159">
        <f>Assumptions!B17</f>
        <v>411</v>
      </c>
      <c r="I169" s="158"/>
      <c r="J169" s="158"/>
    </row>
    <row r="170" spans="1:10" ht="14.25" thickBot="1" thickTop="1">
      <c r="A170" s="258"/>
      <c r="B170" s="260" t="s">
        <v>17</v>
      </c>
      <c r="C170" s="261"/>
      <c r="D170" s="260" t="s">
        <v>207</v>
      </c>
      <c r="E170" s="260" t="s">
        <v>177</v>
      </c>
      <c r="F170" s="264" t="s">
        <v>38</v>
      </c>
      <c r="G170" s="264" t="s">
        <v>39</v>
      </c>
      <c r="H170" s="266" t="s">
        <v>208</v>
      </c>
      <c r="I170" s="267"/>
      <c r="J170" s="268"/>
    </row>
    <row r="171" spans="1:10" ht="13.5" thickTop="1">
      <c r="A171" s="259"/>
      <c r="B171" s="262"/>
      <c r="C171" s="263"/>
      <c r="D171" s="262"/>
      <c r="E171" s="262"/>
      <c r="F171" s="265"/>
      <c r="G171" s="265"/>
      <c r="H171" s="145" t="s">
        <v>38</v>
      </c>
      <c r="I171" s="145" t="s">
        <v>39</v>
      </c>
      <c r="J171" s="269"/>
    </row>
    <row r="172" spans="1:10" ht="12.75">
      <c r="A172" s="131"/>
      <c r="B172" s="132" t="str">
        <f>Assumptions!$G$31</f>
        <v>2006</v>
      </c>
      <c r="C172" s="132"/>
      <c r="D172" s="132"/>
      <c r="E172" s="132"/>
      <c r="F172" s="160"/>
      <c r="G172" s="160"/>
      <c r="H172" s="160"/>
      <c r="I172" s="160"/>
      <c r="J172" s="133"/>
    </row>
    <row r="173" spans="1:10" ht="12.75">
      <c r="A173" s="131"/>
      <c r="B173" s="132" t="str">
        <f>Assumptions!$G$32</f>
        <v>Jan.</v>
      </c>
      <c r="C173" s="132"/>
      <c r="D173" s="132"/>
      <c r="E173" s="162"/>
      <c r="F173" s="160"/>
      <c r="G173" s="160"/>
      <c r="H173" s="160"/>
      <c r="I173" s="160"/>
      <c r="J173" s="133"/>
    </row>
    <row r="174" spans="1:10" ht="12.75">
      <c r="A174" s="131"/>
      <c r="B174" s="132"/>
      <c r="C174" s="132"/>
      <c r="D174" s="132"/>
      <c r="E174" s="132"/>
      <c r="F174" s="160"/>
      <c r="G174" s="160"/>
      <c r="H174" s="160"/>
      <c r="I174" s="160"/>
      <c r="J174" s="133"/>
    </row>
    <row r="175" spans="1:10" ht="12.75">
      <c r="A175" s="131"/>
      <c r="B175" s="132"/>
      <c r="C175" s="132"/>
      <c r="D175" s="132"/>
      <c r="E175" s="132"/>
      <c r="F175" s="160"/>
      <c r="G175" s="160"/>
      <c r="H175" s="160"/>
      <c r="I175" s="160"/>
      <c r="J175" s="133"/>
    </row>
    <row r="176" spans="1:10" ht="12.75">
      <c r="A176" s="131"/>
      <c r="B176" s="132"/>
      <c r="C176" s="132"/>
      <c r="D176" s="132"/>
      <c r="E176" s="132"/>
      <c r="F176" s="160"/>
      <c r="G176" s="160"/>
      <c r="H176" s="160"/>
      <c r="I176" s="160"/>
      <c r="J176" s="133"/>
    </row>
    <row r="177" spans="1:10" ht="12.75">
      <c r="A177" s="131"/>
      <c r="B177" s="132"/>
      <c r="C177" s="132"/>
      <c r="D177" s="132"/>
      <c r="E177" s="132"/>
      <c r="F177" s="160"/>
      <c r="G177" s="160"/>
      <c r="H177" s="160"/>
      <c r="I177" s="160"/>
      <c r="J177" s="133"/>
    </row>
    <row r="178" spans="1:10" ht="12.75">
      <c r="A178" s="131"/>
      <c r="B178" s="132"/>
      <c r="C178" s="132"/>
      <c r="D178" s="132"/>
      <c r="E178" s="132"/>
      <c r="F178" s="160"/>
      <c r="G178" s="160"/>
      <c r="H178" s="160"/>
      <c r="I178" s="160"/>
      <c r="J178" s="133"/>
    </row>
    <row r="179" spans="1:10" ht="12.75">
      <c r="A179" s="131"/>
      <c r="B179" s="132"/>
      <c r="C179" s="132"/>
      <c r="D179" s="132"/>
      <c r="E179" s="132"/>
      <c r="F179" s="160"/>
      <c r="G179" s="160"/>
      <c r="H179" s="160"/>
      <c r="I179" s="160"/>
      <c r="J179" s="133"/>
    </row>
    <row r="181" spans="1:10" ht="13.5" thickBot="1">
      <c r="A181" s="158" t="s">
        <v>205</v>
      </c>
      <c r="B181" s="158"/>
      <c r="C181" s="159" t="str">
        <f>VLOOKUP(H181,AccNames,2,0)</f>
        <v>Sales Returns and Allowances</v>
      </c>
      <c r="D181" s="158"/>
      <c r="E181" s="158"/>
      <c r="F181" s="158"/>
      <c r="G181" s="158" t="s">
        <v>206</v>
      </c>
      <c r="H181" s="159">
        <f>Assumptions!B18</f>
        <v>412</v>
      </c>
      <c r="I181" s="158"/>
      <c r="J181" s="158"/>
    </row>
    <row r="182" spans="1:10" ht="14.25" thickBot="1" thickTop="1">
      <c r="A182" s="258"/>
      <c r="B182" s="260" t="s">
        <v>17</v>
      </c>
      <c r="C182" s="261"/>
      <c r="D182" s="260" t="s">
        <v>207</v>
      </c>
      <c r="E182" s="260" t="s">
        <v>177</v>
      </c>
      <c r="F182" s="264" t="s">
        <v>38</v>
      </c>
      <c r="G182" s="264" t="s">
        <v>39</v>
      </c>
      <c r="H182" s="266" t="s">
        <v>208</v>
      </c>
      <c r="I182" s="267"/>
      <c r="J182" s="268"/>
    </row>
    <row r="183" spans="1:10" ht="13.5" thickTop="1">
      <c r="A183" s="259"/>
      <c r="B183" s="262"/>
      <c r="C183" s="263"/>
      <c r="D183" s="262"/>
      <c r="E183" s="262"/>
      <c r="F183" s="265"/>
      <c r="G183" s="265"/>
      <c r="H183" s="163" t="s">
        <v>38</v>
      </c>
      <c r="I183" s="163" t="s">
        <v>39</v>
      </c>
      <c r="J183" s="269"/>
    </row>
    <row r="184" spans="1:10" ht="12.75">
      <c r="A184" s="131"/>
      <c r="B184" s="132" t="str">
        <f>Assumptions!$G$31</f>
        <v>2006</v>
      </c>
      <c r="C184" s="132"/>
      <c r="D184" s="132"/>
      <c r="E184" s="132"/>
      <c r="F184" s="160"/>
      <c r="G184" s="160"/>
      <c r="H184" s="160"/>
      <c r="I184" s="160"/>
      <c r="J184" s="133"/>
    </row>
    <row r="185" spans="1:10" ht="12.75">
      <c r="A185" s="131"/>
      <c r="B185" s="132" t="str">
        <f>Assumptions!$G$32</f>
        <v>Jan.</v>
      </c>
      <c r="C185" s="132"/>
      <c r="D185" s="132"/>
      <c r="E185" s="162"/>
      <c r="F185" s="160"/>
      <c r="G185" s="160"/>
      <c r="H185" s="160"/>
      <c r="I185" s="160"/>
      <c r="J185" s="133"/>
    </row>
    <row r="186" spans="1:10" ht="12.75">
      <c r="A186" s="131"/>
      <c r="B186" s="132"/>
      <c r="C186" s="132"/>
      <c r="D186" s="132"/>
      <c r="E186" s="132"/>
      <c r="F186" s="160"/>
      <c r="G186" s="160"/>
      <c r="H186" s="160"/>
      <c r="I186" s="160"/>
      <c r="J186" s="133"/>
    </row>
    <row r="187" spans="1:10" ht="12.75">
      <c r="A187" s="131"/>
      <c r="B187" s="132"/>
      <c r="C187" s="132"/>
      <c r="D187" s="132"/>
      <c r="E187" s="132"/>
      <c r="F187" s="160"/>
      <c r="G187" s="160"/>
      <c r="H187" s="160"/>
      <c r="I187" s="160"/>
      <c r="J187" s="133"/>
    </row>
    <row r="188" spans="1:10" ht="12.75">
      <c r="A188" s="131"/>
      <c r="B188" s="132"/>
      <c r="C188" s="132"/>
      <c r="D188" s="132"/>
      <c r="E188" s="132"/>
      <c r="F188" s="160"/>
      <c r="G188" s="160"/>
      <c r="H188" s="160"/>
      <c r="I188" s="160"/>
      <c r="J188" s="133"/>
    </row>
    <row r="189" spans="1:10" ht="12.75">
      <c r="A189" s="131"/>
      <c r="B189" s="132"/>
      <c r="C189" s="132"/>
      <c r="D189" s="132"/>
      <c r="E189" s="132"/>
      <c r="F189" s="160"/>
      <c r="G189" s="160"/>
      <c r="H189" s="160"/>
      <c r="I189" s="160"/>
      <c r="J189" s="133"/>
    </row>
    <row r="190" spans="1:10" ht="12.75">
      <c r="A190" s="131"/>
      <c r="B190" s="132"/>
      <c r="C190" s="132"/>
      <c r="D190" s="132"/>
      <c r="E190" s="132"/>
      <c r="F190" s="160"/>
      <c r="G190" s="160"/>
      <c r="H190" s="160"/>
      <c r="I190" s="160"/>
      <c r="J190" s="133"/>
    </row>
    <row r="191" spans="1:10" ht="12.75">
      <c r="A191" s="131"/>
      <c r="B191" s="132"/>
      <c r="C191" s="132"/>
      <c r="D191" s="132"/>
      <c r="E191" s="132"/>
      <c r="F191" s="160"/>
      <c r="G191" s="160"/>
      <c r="H191" s="160"/>
      <c r="I191" s="160"/>
      <c r="J191" s="133"/>
    </row>
    <row r="193" spans="1:10" ht="13.5" thickBot="1">
      <c r="A193" s="158" t="s">
        <v>205</v>
      </c>
      <c r="B193" s="158"/>
      <c r="C193" s="159" t="str">
        <f>VLOOKUP(H193,AccNames,2,0)</f>
        <v>Sales Discounts</v>
      </c>
      <c r="D193" s="158"/>
      <c r="E193" s="158"/>
      <c r="F193" s="158"/>
      <c r="G193" s="158" t="s">
        <v>206</v>
      </c>
      <c r="H193" s="159">
        <f>Assumptions!B19</f>
        <v>413</v>
      </c>
      <c r="I193" s="158"/>
      <c r="J193" s="158"/>
    </row>
    <row r="194" spans="1:10" ht="14.25" thickBot="1" thickTop="1">
      <c r="A194" s="258"/>
      <c r="B194" s="260" t="s">
        <v>17</v>
      </c>
      <c r="C194" s="261"/>
      <c r="D194" s="260" t="s">
        <v>207</v>
      </c>
      <c r="E194" s="260" t="s">
        <v>177</v>
      </c>
      <c r="F194" s="264" t="s">
        <v>38</v>
      </c>
      <c r="G194" s="264" t="s">
        <v>39</v>
      </c>
      <c r="H194" s="266" t="s">
        <v>208</v>
      </c>
      <c r="I194" s="267"/>
      <c r="J194" s="268"/>
    </row>
    <row r="195" spans="1:10" ht="13.5" thickTop="1">
      <c r="A195" s="259"/>
      <c r="B195" s="262"/>
      <c r="C195" s="263"/>
      <c r="D195" s="262"/>
      <c r="E195" s="262"/>
      <c r="F195" s="265"/>
      <c r="G195" s="265"/>
      <c r="H195" s="145" t="s">
        <v>38</v>
      </c>
      <c r="I195" s="145" t="s">
        <v>39</v>
      </c>
      <c r="J195" s="269"/>
    </row>
    <row r="196" spans="1:10" ht="12.75">
      <c r="A196" s="131"/>
      <c r="B196" s="132" t="str">
        <f>Assumptions!$G$31</f>
        <v>2006</v>
      </c>
      <c r="C196" s="132"/>
      <c r="D196" s="132"/>
      <c r="E196" s="132"/>
      <c r="F196" s="160"/>
      <c r="G196" s="160"/>
      <c r="H196" s="160"/>
      <c r="I196" s="160"/>
      <c r="J196" s="133"/>
    </row>
    <row r="197" spans="1:10" ht="12.75">
      <c r="A197" s="131"/>
      <c r="B197" s="132" t="str">
        <f>Assumptions!$G$32</f>
        <v>Jan.</v>
      </c>
      <c r="C197" s="132"/>
      <c r="D197" s="132"/>
      <c r="E197" s="162"/>
      <c r="F197" s="160"/>
      <c r="G197" s="160"/>
      <c r="H197" s="160"/>
      <c r="I197" s="160"/>
      <c r="J197" s="133"/>
    </row>
    <row r="198" spans="1:10" ht="12.75">
      <c r="A198" s="131"/>
      <c r="B198" s="132"/>
      <c r="C198" s="132"/>
      <c r="D198" s="132"/>
      <c r="E198" s="132"/>
      <c r="F198" s="160"/>
      <c r="G198" s="160"/>
      <c r="H198" s="160"/>
      <c r="I198" s="160"/>
      <c r="J198" s="133"/>
    </row>
    <row r="199" spans="1:10" ht="12.75">
      <c r="A199" s="131"/>
      <c r="B199" s="132"/>
      <c r="C199" s="132"/>
      <c r="D199" s="132"/>
      <c r="E199" s="132"/>
      <c r="F199" s="160"/>
      <c r="G199" s="160"/>
      <c r="H199" s="160"/>
      <c r="I199" s="160"/>
      <c r="J199" s="133"/>
    </row>
    <row r="200" spans="1:10" ht="12.75">
      <c r="A200" s="131"/>
      <c r="B200" s="132"/>
      <c r="C200" s="132"/>
      <c r="D200" s="132"/>
      <c r="E200" s="132"/>
      <c r="F200" s="160"/>
      <c r="G200" s="160"/>
      <c r="H200" s="160"/>
      <c r="I200" s="160"/>
      <c r="J200" s="133"/>
    </row>
    <row r="201" spans="1:10" ht="12.75">
      <c r="A201" s="131"/>
      <c r="B201" s="132"/>
      <c r="C201" s="132"/>
      <c r="D201" s="132"/>
      <c r="E201" s="132"/>
      <c r="F201" s="160"/>
      <c r="G201" s="160"/>
      <c r="H201" s="160"/>
      <c r="I201" s="160"/>
      <c r="J201" s="133"/>
    </row>
    <row r="202" spans="1:10" ht="12.75">
      <c r="A202" s="131"/>
      <c r="B202" s="132"/>
      <c r="C202" s="132"/>
      <c r="D202" s="132"/>
      <c r="E202" s="132"/>
      <c r="F202" s="160"/>
      <c r="G202" s="160"/>
      <c r="H202" s="160"/>
      <c r="I202" s="160"/>
      <c r="J202" s="133"/>
    </row>
    <row r="203" spans="1:10" ht="12.75">
      <c r="A203" s="131"/>
      <c r="B203" s="132"/>
      <c r="C203" s="132"/>
      <c r="D203" s="132"/>
      <c r="E203" s="132"/>
      <c r="F203" s="160"/>
      <c r="G203" s="160"/>
      <c r="H203" s="160"/>
      <c r="I203" s="160"/>
      <c r="J203" s="133"/>
    </row>
    <row r="205" spans="1:10" ht="13.5" thickBot="1">
      <c r="A205" s="158" t="s">
        <v>205</v>
      </c>
      <c r="B205" s="158"/>
      <c r="C205" s="159" t="str">
        <f>VLOOKUP(H205,AccNames,2,0)</f>
        <v>Purchases</v>
      </c>
      <c r="D205" s="158"/>
      <c r="E205" s="158"/>
      <c r="F205" s="158"/>
      <c r="G205" s="158" t="s">
        <v>206</v>
      </c>
      <c r="H205" s="159">
        <f>Assumptions!B20</f>
        <v>511</v>
      </c>
      <c r="I205" s="158"/>
      <c r="J205" s="158"/>
    </row>
    <row r="206" spans="1:10" ht="14.25" thickBot="1" thickTop="1">
      <c r="A206" s="258"/>
      <c r="B206" s="260" t="s">
        <v>17</v>
      </c>
      <c r="C206" s="261"/>
      <c r="D206" s="260" t="s">
        <v>207</v>
      </c>
      <c r="E206" s="260" t="s">
        <v>177</v>
      </c>
      <c r="F206" s="264" t="s">
        <v>38</v>
      </c>
      <c r="G206" s="264" t="s">
        <v>39</v>
      </c>
      <c r="H206" s="266" t="s">
        <v>208</v>
      </c>
      <c r="I206" s="267"/>
      <c r="J206" s="268"/>
    </row>
    <row r="207" spans="1:10" ht="13.5" thickTop="1">
      <c r="A207" s="259"/>
      <c r="B207" s="262"/>
      <c r="C207" s="263"/>
      <c r="D207" s="262"/>
      <c r="E207" s="262"/>
      <c r="F207" s="265"/>
      <c r="G207" s="265"/>
      <c r="H207" s="145" t="s">
        <v>38</v>
      </c>
      <c r="I207" s="145" t="s">
        <v>39</v>
      </c>
      <c r="J207" s="269"/>
    </row>
    <row r="208" spans="1:10" ht="12.75">
      <c r="A208" s="131"/>
      <c r="B208" s="132" t="str">
        <f>Assumptions!$G$31</f>
        <v>2006</v>
      </c>
      <c r="C208" s="132"/>
      <c r="D208" s="132"/>
      <c r="E208" s="132"/>
      <c r="F208" s="160"/>
      <c r="G208" s="160"/>
      <c r="H208" s="160"/>
      <c r="I208" s="160"/>
      <c r="J208" s="133"/>
    </row>
    <row r="209" spans="1:10" ht="12.75">
      <c r="A209" s="131"/>
      <c r="B209" s="132" t="str">
        <f>Assumptions!$G$32</f>
        <v>Jan.</v>
      </c>
      <c r="C209" s="132"/>
      <c r="D209" s="132"/>
      <c r="E209" s="162"/>
      <c r="F209" s="160"/>
      <c r="G209" s="160"/>
      <c r="H209" s="160"/>
      <c r="I209" s="160"/>
      <c r="J209" s="133"/>
    </row>
    <row r="210" spans="1:10" ht="12.75">
      <c r="A210" s="131"/>
      <c r="B210" s="132"/>
      <c r="C210" s="132"/>
      <c r="D210" s="132"/>
      <c r="E210" s="132"/>
      <c r="F210" s="160"/>
      <c r="G210" s="160"/>
      <c r="H210" s="160"/>
      <c r="I210" s="160"/>
      <c r="J210" s="133"/>
    </row>
    <row r="211" spans="1:10" ht="12.75">
      <c r="A211" s="131"/>
      <c r="B211" s="132"/>
      <c r="C211" s="132"/>
      <c r="D211" s="132"/>
      <c r="E211" s="132"/>
      <c r="F211" s="160"/>
      <c r="G211" s="160"/>
      <c r="H211" s="160"/>
      <c r="I211" s="160"/>
      <c r="J211" s="133"/>
    </row>
    <row r="212" spans="1:10" ht="12.75">
      <c r="A212" s="131"/>
      <c r="B212" s="132"/>
      <c r="C212" s="132"/>
      <c r="D212" s="132"/>
      <c r="E212" s="132"/>
      <c r="F212" s="160"/>
      <c r="G212" s="160"/>
      <c r="H212" s="160"/>
      <c r="I212" s="160"/>
      <c r="J212" s="133"/>
    </row>
    <row r="213" spans="1:10" ht="12.75">
      <c r="A213" s="131"/>
      <c r="B213" s="132"/>
      <c r="C213" s="132"/>
      <c r="D213" s="132"/>
      <c r="E213" s="132"/>
      <c r="F213" s="160"/>
      <c r="G213" s="160"/>
      <c r="H213" s="160"/>
      <c r="I213" s="160"/>
      <c r="J213" s="133"/>
    </row>
    <row r="214" spans="1:10" ht="12.75">
      <c r="A214" s="131"/>
      <c r="B214" s="132"/>
      <c r="C214" s="132"/>
      <c r="D214" s="132"/>
      <c r="E214" s="132"/>
      <c r="F214" s="160"/>
      <c r="G214" s="160"/>
      <c r="H214" s="160"/>
      <c r="I214" s="160"/>
      <c r="J214" s="133"/>
    </row>
    <row r="215" spans="1:10" ht="12.75">
      <c r="A215" s="131"/>
      <c r="B215" s="132"/>
      <c r="C215" s="132"/>
      <c r="D215" s="132"/>
      <c r="E215" s="132"/>
      <c r="F215" s="160"/>
      <c r="G215" s="160"/>
      <c r="H215" s="160"/>
      <c r="I215" s="160"/>
      <c r="J215" s="133"/>
    </row>
    <row r="217" spans="1:10" ht="13.5" thickBot="1">
      <c r="A217" s="158" t="s">
        <v>205</v>
      </c>
      <c r="B217" s="158"/>
      <c r="C217" s="159" t="str">
        <f>VLOOKUP(H217,AccNames,2,0)</f>
        <v>Purchases Returns and Allowances</v>
      </c>
      <c r="D217" s="158"/>
      <c r="E217" s="158"/>
      <c r="F217" s="158"/>
      <c r="G217" s="158" t="s">
        <v>206</v>
      </c>
      <c r="H217" s="159">
        <f>Assumptions!B21</f>
        <v>512</v>
      </c>
      <c r="I217" s="158"/>
      <c r="J217" s="158"/>
    </row>
    <row r="218" spans="1:10" ht="14.25" thickBot="1" thickTop="1">
      <c r="A218" s="258"/>
      <c r="B218" s="260" t="s">
        <v>17</v>
      </c>
      <c r="C218" s="261"/>
      <c r="D218" s="260" t="s">
        <v>207</v>
      </c>
      <c r="E218" s="260" t="s">
        <v>177</v>
      </c>
      <c r="F218" s="264" t="s">
        <v>38</v>
      </c>
      <c r="G218" s="264" t="s">
        <v>39</v>
      </c>
      <c r="H218" s="266" t="s">
        <v>208</v>
      </c>
      <c r="I218" s="267"/>
      <c r="J218" s="268"/>
    </row>
    <row r="219" spans="1:10" ht="13.5" thickTop="1">
      <c r="A219" s="259"/>
      <c r="B219" s="262"/>
      <c r="C219" s="263"/>
      <c r="D219" s="262"/>
      <c r="E219" s="262"/>
      <c r="F219" s="265"/>
      <c r="G219" s="265"/>
      <c r="H219" s="145" t="s">
        <v>38</v>
      </c>
      <c r="I219" s="145" t="s">
        <v>39</v>
      </c>
      <c r="J219" s="269"/>
    </row>
    <row r="220" spans="1:10" ht="12.75">
      <c r="A220" s="131"/>
      <c r="B220" s="132" t="str">
        <f>Assumptions!$G$31</f>
        <v>2006</v>
      </c>
      <c r="C220" s="132"/>
      <c r="D220" s="132"/>
      <c r="E220" s="132"/>
      <c r="F220" s="160"/>
      <c r="G220" s="160"/>
      <c r="H220" s="160"/>
      <c r="I220" s="160"/>
      <c r="J220" s="133"/>
    </row>
    <row r="221" spans="1:10" ht="12.75">
      <c r="A221" s="131"/>
      <c r="B221" s="132" t="str">
        <f>Assumptions!$G$32</f>
        <v>Jan.</v>
      </c>
      <c r="C221" s="132"/>
      <c r="D221" s="132"/>
      <c r="E221" s="162"/>
      <c r="F221" s="160"/>
      <c r="G221" s="160"/>
      <c r="H221" s="160"/>
      <c r="I221" s="160"/>
      <c r="J221" s="133"/>
    </row>
    <row r="222" spans="1:10" ht="12.75">
      <c r="A222" s="131"/>
      <c r="B222" s="132"/>
      <c r="C222" s="132"/>
      <c r="D222" s="132"/>
      <c r="E222" s="132"/>
      <c r="F222" s="160"/>
      <c r="G222" s="160"/>
      <c r="H222" s="160"/>
      <c r="I222" s="160"/>
      <c r="J222" s="133"/>
    </row>
    <row r="223" spans="1:10" ht="12.75">
      <c r="A223" s="131"/>
      <c r="B223" s="132"/>
      <c r="C223" s="132"/>
      <c r="D223" s="132"/>
      <c r="E223" s="132"/>
      <c r="F223" s="160"/>
      <c r="G223" s="160"/>
      <c r="H223" s="160"/>
      <c r="I223" s="160"/>
      <c r="J223" s="133"/>
    </row>
    <row r="224" spans="1:10" ht="12.75">
      <c r="A224" s="131"/>
      <c r="B224" s="132"/>
      <c r="C224" s="132"/>
      <c r="D224" s="132"/>
      <c r="E224" s="132"/>
      <c r="F224" s="160"/>
      <c r="G224" s="160"/>
      <c r="H224" s="160"/>
      <c r="I224" s="160"/>
      <c r="J224" s="133"/>
    </row>
    <row r="225" spans="1:10" ht="12.75">
      <c r="A225" s="131"/>
      <c r="B225" s="132"/>
      <c r="C225" s="132"/>
      <c r="D225" s="132"/>
      <c r="E225" s="132"/>
      <c r="F225" s="160"/>
      <c r="G225" s="160"/>
      <c r="H225" s="160"/>
      <c r="I225" s="160"/>
      <c r="J225" s="133"/>
    </row>
    <row r="226" spans="1:10" ht="12.75">
      <c r="A226" s="131"/>
      <c r="B226" s="132"/>
      <c r="C226" s="132"/>
      <c r="D226" s="132"/>
      <c r="E226" s="132"/>
      <c r="F226" s="160"/>
      <c r="G226" s="160"/>
      <c r="H226" s="160"/>
      <c r="I226" s="160"/>
      <c r="J226" s="133"/>
    </row>
    <row r="227" spans="1:10" ht="12.75">
      <c r="A227" s="131"/>
      <c r="B227" s="132"/>
      <c r="C227" s="132"/>
      <c r="D227" s="132"/>
      <c r="E227" s="132"/>
      <c r="F227" s="160"/>
      <c r="G227" s="160"/>
      <c r="H227" s="160"/>
      <c r="I227" s="160"/>
      <c r="J227" s="133"/>
    </row>
    <row r="229" spans="1:10" ht="13.5" thickBot="1">
      <c r="A229" s="158" t="s">
        <v>205</v>
      </c>
      <c r="B229" s="158"/>
      <c r="C229" s="159" t="str">
        <f>VLOOKUP(H229,AccNames,2,0)</f>
        <v>Purchases Discounts</v>
      </c>
      <c r="D229" s="158"/>
      <c r="E229" s="158"/>
      <c r="F229" s="158"/>
      <c r="G229" s="158" t="s">
        <v>206</v>
      </c>
      <c r="H229" s="159">
        <f>Assumptions!B22</f>
        <v>513</v>
      </c>
      <c r="I229" s="158"/>
      <c r="J229" s="158"/>
    </row>
    <row r="230" spans="1:10" ht="14.25" thickBot="1" thickTop="1">
      <c r="A230" s="258"/>
      <c r="B230" s="260" t="s">
        <v>17</v>
      </c>
      <c r="C230" s="261"/>
      <c r="D230" s="260" t="s">
        <v>207</v>
      </c>
      <c r="E230" s="260" t="s">
        <v>177</v>
      </c>
      <c r="F230" s="264" t="s">
        <v>38</v>
      </c>
      <c r="G230" s="264" t="s">
        <v>39</v>
      </c>
      <c r="H230" s="266" t="s">
        <v>208</v>
      </c>
      <c r="I230" s="267"/>
      <c r="J230" s="268"/>
    </row>
    <row r="231" spans="1:10" ht="13.5" thickTop="1">
      <c r="A231" s="259"/>
      <c r="B231" s="262"/>
      <c r="C231" s="263"/>
      <c r="D231" s="262"/>
      <c r="E231" s="262"/>
      <c r="F231" s="265"/>
      <c r="G231" s="265"/>
      <c r="H231" s="145" t="s">
        <v>38</v>
      </c>
      <c r="I231" s="145" t="s">
        <v>39</v>
      </c>
      <c r="J231" s="269"/>
    </row>
    <row r="232" spans="1:10" ht="12.75">
      <c r="A232" s="131"/>
      <c r="B232" s="132" t="str">
        <f>Assumptions!$G$31</f>
        <v>2006</v>
      </c>
      <c r="C232" s="132"/>
      <c r="D232" s="132"/>
      <c r="E232" s="132"/>
      <c r="F232" s="160"/>
      <c r="G232" s="160"/>
      <c r="H232" s="160"/>
      <c r="I232" s="160"/>
      <c r="J232" s="133"/>
    </row>
    <row r="233" spans="1:10" ht="12.75">
      <c r="A233" s="131"/>
      <c r="B233" s="132" t="str">
        <f>Assumptions!$G$32</f>
        <v>Jan.</v>
      </c>
      <c r="C233" s="132"/>
      <c r="D233" s="132"/>
      <c r="E233" s="162"/>
      <c r="F233" s="160"/>
      <c r="G233" s="160"/>
      <c r="H233" s="160"/>
      <c r="I233" s="160"/>
      <c r="J233" s="133"/>
    </row>
    <row r="234" spans="1:10" ht="12.75">
      <c r="A234" s="131"/>
      <c r="B234" s="132"/>
      <c r="C234" s="132"/>
      <c r="D234" s="132"/>
      <c r="E234" s="132"/>
      <c r="F234" s="160"/>
      <c r="G234" s="160"/>
      <c r="H234" s="160"/>
      <c r="I234" s="160"/>
      <c r="J234" s="133"/>
    </row>
    <row r="235" spans="1:10" ht="12.75">
      <c r="A235" s="131"/>
      <c r="B235" s="132"/>
      <c r="C235" s="132"/>
      <c r="D235" s="132"/>
      <c r="E235" s="132"/>
      <c r="F235" s="160"/>
      <c r="G235" s="160"/>
      <c r="H235" s="160"/>
      <c r="I235" s="160"/>
      <c r="J235" s="133"/>
    </row>
    <row r="236" spans="1:10" ht="12.75">
      <c r="A236" s="131"/>
      <c r="B236" s="132"/>
      <c r="C236" s="132"/>
      <c r="D236" s="132"/>
      <c r="E236" s="132"/>
      <c r="F236" s="160"/>
      <c r="G236" s="160"/>
      <c r="H236" s="160"/>
      <c r="I236" s="160"/>
      <c r="J236" s="133"/>
    </row>
    <row r="237" spans="1:10" ht="12.75">
      <c r="A237" s="131"/>
      <c r="B237" s="132"/>
      <c r="C237" s="132"/>
      <c r="D237" s="132"/>
      <c r="E237" s="132"/>
      <c r="F237" s="160"/>
      <c r="G237" s="160"/>
      <c r="H237" s="160"/>
      <c r="I237" s="160"/>
      <c r="J237" s="133"/>
    </row>
    <row r="238" spans="1:10" ht="12.75">
      <c r="A238" s="131"/>
      <c r="B238" s="132"/>
      <c r="C238" s="132"/>
      <c r="D238" s="132"/>
      <c r="E238" s="132"/>
      <c r="F238" s="160"/>
      <c r="G238" s="160"/>
      <c r="H238" s="160"/>
      <c r="I238" s="160"/>
      <c r="J238" s="133"/>
    </row>
    <row r="239" spans="1:10" ht="12.75">
      <c r="A239" s="131"/>
      <c r="B239" s="132"/>
      <c r="C239" s="132"/>
      <c r="D239" s="132"/>
      <c r="E239" s="132"/>
      <c r="F239" s="160"/>
      <c r="G239" s="160"/>
      <c r="H239" s="160"/>
      <c r="I239" s="160"/>
      <c r="J239" s="133"/>
    </row>
    <row r="241" spans="1:10" ht="13.5" thickBot="1">
      <c r="A241" s="158" t="s">
        <v>205</v>
      </c>
      <c r="B241" s="158"/>
      <c r="C241" s="159" t="str">
        <f>VLOOKUP(H241,AccNames,2,0)</f>
        <v>Freight In</v>
      </c>
      <c r="D241" s="158"/>
      <c r="E241" s="158"/>
      <c r="F241" s="158"/>
      <c r="G241" s="158" t="s">
        <v>206</v>
      </c>
      <c r="H241" s="159">
        <f>Assumptions!B23</f>
        <v>514</v>
      </c>
      <c r="I241" s="158"/>
      <c r="J241" s="158"/>
    </row>
    <row r="242" spans="1:10" ht="14.25" thickBot="1" thickTop="1">
      <c r="A242" s="258"/>
      <c r="B242" s="260" t="s">
        <v>17</v>
      </c>
      <c r="C242" s="261"/>
      <c r="D242" s="260" t="s">
        <v>207</v>
      </c>
      <c r="E242" s="260" t="s">
        <v>177</v>
      </c>
      <c r="F242" s="264" t="s">
        <v>38</v>
      </c>
      <c r="G242" s="264" t="s">
        <v>39</v>
      </c>
      <c r="H242" s="266" t="s">
        <v>208</v>
      </c>
      <c r="I242" s="267"/>
      <c r="J242" s="268"/>
    </row>
    <row r="243" spans="1:10" ht="13.5" thickTop="1">
      <c r="A243" s="259"/>
      <c r="B243" s="262"/>
      <c r="C243" s="263"/>
      <c r="D243" s="262"/>
      <c r="E243" s="262"/>
      <c r="F243" s="265"/>
      <c r="G243" s="265"/>
      <c r="H243" s="145" t="s">
        <v>38</v>
      </c>
      <c r="I243" s="145" t="s">
        <v>39</v>
      </c>
      <c r="J243" s="269"/>
    </row>
    <row r="244" spans="1:10" ht="12.75">
      <c r="A244" s="131"/>
      <c r="B244" s="132" t="str">
        <f>Assumptions!$G$31</f>
        <v>2006</v>
      </c>
      <c r="C244" s="132"/>
      <c r="D244" s="132"/>
      <c r="E244" s="132"/>
      <c r="F244" s="160"/>
      <c r="G244" s="160"/>
      <c r="H244" s="160"/>
      <c r="I244" s="160"/>
      <c r="J244" s="133"/>
    </row>
    <row r="245" spans="1:10" ht="12.75">
      <c r="A245" s="131"/>
      <c r="B245" s="132" t="str">
        <f>Assumptions!$G$32</f>
        <v>Jan.</v>
      </c>
      <c r="C245" s="132"/>
      <c r="D245" s="132"/>
      <c r="E245" s="162"/>
      <c r="F245" s="160"/>
      <c r="G245" s="160"/>
      <c r="H245" s="160"/>
      <c r="I245" s="160"/>
      <c r="J245" s="133"/>
    </row>
    <row r="246" spans="1:10" ht="12.75">
      <c r="A246" s="131"/>
      <c r="B246" s="132"/>
      <c r="C246" s="132"/>
      <c r="D246" s="132"/>
      <c r="E246" s="132"/>
      <c r="F246" s="160"/>
      <c r="G246" s="160"/>
      <c r="H246" s="160"/>
      <c r="I246" s="160"/>
      <c r="J246" s="133"/>
    </row>
    <row r="247" spans="1:10" ht="12.75">
      <c r="A247" s="131"/>
      <c r="B247" s="132"/>
      <c r="C247" s="132"/>
      <c r="D247" s="132"/>
      <c r="E247" s="132"/>
      <c r="F247" s="160"/>
      <c r="G247" s="160"/>
      <c r="H247" s="160"/>
      <c r="I247" s="160"/>
      <c r="J247" s="133"/>
    </row>
    <row r="248" spans="1:10" ht="12.75">
      <c r="A248" s="131"/>
      <c r="B248" s="132"/>
      <c r="C248" s="132"/>
      <c r="D248" s="132"/>
      <c r="E248" s="132"/>
      <c r="F248" s="160"/>
      <c r="G248" s="160"/>
      <c r="H248" s="160"/>
      <c r="I248" s="160"/>
      <c r="J248" s="133"/>
    </row>
    <row r="249" spans="1:10" ht="12.75">
      <c r="A249" s="131"/>
      <c r="B249" s="132"/>
      <c r="C249" s="132"/>
      <c r="D249" s="132"/>
      <c r="E249" s="132"/>
      <c r="F249" s="160"/>
      <c r="G249" s="160"/>
      <c r="H249" s="160"/>
      <c r="I249" s="160"/>
      <c r="J249" s="133"/>
    </row>
    <row r="250" spans="1:10" ht="12.75">
      <c r="A250" s="131"/>
      <c r="B250" s="132"/>
      <c r="C250" s="132"/>
      <c r="D250" s="132"/>
      <c r="E250" s="132"/>
      <c r="F250" s="160"/>
      <c r="G250" s="160"/>
      <c r="H250" s="160"/>
      <c r="I250" s="160"/>
      <c r="J250" s="133"/>
    </row>
    <row r="251" spans="1:10" ht="12.75">
      <c r="A251" s="131"/>
      <c r="B251" s="132"/>
      <c r="C251" s="132"/>
      <c r="D251" s="132"/>
      <c r="E251" s="132"/>
      <c r="F251" s="160"/>
      <c r="G251" s="160"/>
      <c r="H251" s="160"/>
      <c r="I251" s="160"/>
      <c r="J251" s="133"/>
    </row>
    <row r="253" spans="1:10" ht="13.5" thickBot="1">
      <c r="A253" s="158" t="s">
        <v>205</v>
      </c>
      <c r="B253" s="158"/>
      <c r="C253" s="159" t="str">
        <f>VLOOKUP(H253,AccNames,2,0)</f>
        <v>Salaries Expense</v>
      </c>
      <c r="D253" s="158"/>
      <c r="E253" s="158"/>
      <c r="F253" s="158"/>
      <c r="G253" s="158" t="s">
        <v>206</v>
      </c>
      <c r="H253" s="159">
        <f>Assumptions!B24</f>
        <v>521</v>
      </c>
      <c r="I253" s="158"/>
      <c r="J253" s="158"/>
    </row>
    <row r="254" spans="1:10" ht="14.25" thickBot="1" thickTop="1">
      <c r="A254" s="258"/>
      <c r="B254" s="260" t="s">
        <v>17</v>
      </c>
      <c r="C254" s="261"/>
      <c r="D254" s="260" t="s">
        <v>207</v>
      </c>
      <c r="E254" s="260" t="s">
        <v>177</v>
      </c>
      <c r="F254" s="264" t="s">
        <v>38</v>
      </c>
      <c r="G254" s="264" t="s">
        <v>39</v>
      </c>
      <c r="H254" s="266" t="s">
        <v>208</v>
      </c>
      <c r="I254" s="267"/>
      <c r="J254" s="268"/>
    </row>
    <row r="255" spans="1:10" ht="13.5" thickTop="1">
      <c r="A255" s="259"/>
      <c r="B255" s="262"/>
      <c r="C255" s="263"/>
      <c r="D255" s="262"/>
      <c r="E255" s="262"/>
      <c r="F255" s="265"/>
      <c r="G255" s="265"/>
      <c r="H255" s="145" t="s">
        <v>38</v>
      </c>
      <c r="I255" s="145" t="s">
        <v>39</v>
      </c>
      <c r="J255" s="269"/>
    </row>
    <row r="256" spans="1:10" ht="12.75">
      <c r="A256" s="131"/>
      <c r="B256" s="132" t="str">
        <f>Assumptions!$G$31</f>
        <v>2006</v>
      </c>
      <c r="C256" s="132"/>
      <c r="D256" s="132"/>
      <c r="E256" s="132"/>
      <c r="F256" s="160"/>
      <c r="G256" s="160"/>
      <c r="H256" s="160"/>
      <c r="I256" s="160"/>
      <c r="J256" s="133"/>
    </row>
    <row r="257" spans="1:10" ht="12.75">
      <c r="A257" s="131"/>
      <c r="B257" s="132" t="str">
        <f>Assumptions!$G$32</f>
        <v>Jan.</v>
      </c>
      <c r="C257" s="132"/>
      <c r="D257" s="132"/>
      <c r="E257" s="162"/>
      <c r="F257" s="160"/>
      <c r="G257" s="160"/>
      <c r="H257" s="160"/>
      <c r="I257" s="160"/>
      <c r="J257" s="133"/>
    </row>
    <row r="258" spans="1:10" ht="12.75">
      <c r="A258" s="131"/>
      <c r="B258" s="132"/>
      <c r="C258" s="132"/>
      <c r="D258" s="132"/>
      <c r="E258" s="132"/>
      <c r="F258" s="160"/>
      <c r="G258" s="160"/>
      <c r="H258" s="160"/>
      <c r="I258" s="160"/>
      <c r="J258" s="133"/>
    </row>
    <row r="259" spans="1:10" ht="12.75">
      <c r="A259" s="131"/>
      <c r="B259" s="132"/>
      <c r="C259" s="132"/>
      <c r="D259" s="132"/>
      <c r="E259" s="132"/>
      <c r="F259" s="160"/>
      <c r="G259" s="160"/>
      <c r="H259" s="160"/>
      <c r="I259" s="160"/>
      <c r="J259" s="133"/>
    </row>
    <row r="260" spans="1:10" ht="12.75">
      <c r="A260" s="131"/>
      <c r="B260" s="132"/>
      <c r="C260" s="132"/>
      <c r="D260" s="132"/>
      <c r="E260" s="132"/>
      <c r="F260" s="160"/>
      <c r="G260" s="160"/>
      <c r="H260" s="160"/>
      <c r="I260" s="160"/>
      <c r="J260" s="133"/>
    </row>
    <row r="261" spans="1:10" ht="12.75">
      <c r="A261" s="131"/>
      <c r="B261" s="132"/>
      <c r="C261" s="132"/>
      <c r="D261" s="132"/>
      <c r="E261" s="132"/>
      <c r="F261" s="160"/>
      <c r="G261" s="160"/>
      <c r="H261" s="160"/>
      <c r="I261" s="160"/>
      <c r="J261" s="133"/>
    </row>
    <row r="262" spans="1:10" ht="12.75">
      <c r="A262" s="131"/>
      <c r="B262" s="132"/>
      <c r="C262" s="132"/>
      <c r="D262" s="132"/>
      <c r="E262" s="132"/>
      <c r="F262" s="160"/>
      <c r="G262" s="160"/>
      <c r="H262" s="160"/>
      <c r="I262" s="160"/>
      <c r="J262" s="133"/>
    </row>
    <row r="263" spans="1:10" ht="12.75">
      <c r="A263" s="131"/>
      <c r="B263" s="132"/>
      <c r="C263" s="132"/>
      <c r="D263" s="132"/>
      <c r="E263" s="132"/>
      <c r="F263" s="160"/>
      <c r="G263" s="160"/>
      <c r="H263" s="160"/>
      <c r="I263" s="160"/>
      <c r="J263" s="133"/>
    </row>
    <row r="265" spans="1:10" ht="13.5" thickBot="1">
      <c r="A265" s="158" t="s">
        <v>205</v>
      </c>
      <c r="B265" s="158"/>
      <c r="C265" s="159" t="str">
        <f>VLOOKUP(H265,AccNames,2,0)</f>
        <v>Payroll Tax Expense</v>
      </c>
      <c r="D265" s="158"/>
      <c r="E265" s="158"/>
      <c r="F265" s="158"/>
      <c r="G265" s="158" t="s">
        <v>206</v>
      </c>
      <c r="H265" s="159">
        <f>Assumptions!B25</f>
        <v>522</v>
      </c>
      <c r="I265" s="158"/>
      <c r="J265" s="158"/>
    </row>
    <row r="266" spans="1:10" ht="14.25" thickBot="1" thickTop="1">
      <c r="A266" s="258"/>
      <c r="B266" s="260" t="s">
        <v>17</v>
      </c>
      <c r="C266" s="261"/>
      <c r="D266" s="260" t="s">
        <v>207</v>
      </c>
      <c r="E266" s="260" t="s">
        <v>177</v>
      </c>
      <c r="F266" s="264" t="s">
        <v>38</v>
      </c>
      <c r="G266" s="264" t="s">
        <v>39</v>
      </c>
      <c r="H266" s="266" t="s">
        <v>208</v>
      </c>
      <c r="I266" s="267"/>
      <c r="J266" s="268"/>
    </row>
    <row r="267" spans="1:10" ht="13.5" thickTop="1">
      <c r="A267" s="259"/>
      <c r="B267" s="262"/>
      <c r="C267" s="263"/>
      <c r="D267" s="262"/>
      <c r="E267" s="262"/>
      <c r="F267" s="265"/>
      <c r="G267" s="265"/>
      <c r="H267" s="145" t="s">
        <v>38</v>
      </c>
      <c r="I267" s="145" t="s">
        <v>39</v>
      </c>
      <c r="J267" s="269"/>
    </row>
    <row r="268" spans="1:10" ht="12.75">
      <c r="A268" s="131"/>
      <c r="B268" s="132" t="str">
        <f>Assumptions!$G$31</f>
        <v>2006</v>
      </c>
      <c r="C268" s="132"/>
      <c r="D268" s="132"/>
      <c r="E268" s="132"/>
      <c r="F268" s="160"/>
      <c r="G268" s="160"/>
      <c r="H268" s="160"/>
      <c r="I268" s="160"/>
      <c r="J268" s="133"/>
    </row>
    <row r="269" spans="1:10" ht="12.75">
      <c r="A269" s="131"/>
      <c r="B269" s="132" t="str">
        <f>Assumptions!$G$32</f>
        <v>Jan.</v>
      </c>
      <c r="C269" s="132"/>
      <c r="D269" s="132"/>
      <c r="E269" s="162"/>
      <c r="F269" s="160"/>
      <c r="G269" s="160"/>
      <c r="H269" s="160"/>
      <c r="I269" s="160"/>
      <c r="J269" s="133"/>
    </row>
    <row r="270" spans="1:10" ht="12.75">
      <c r="A270" s="131"/>
      <c r="B270" s="132"/>
      <c r="C270" s="132"/>
      <c r="D270" s="132"/>
      <c r="E270" s="132"/>
      <c r="F270" s="160"/>
      <c r="G270" s="160"/>
      <c r="H270" s="160"/>
      <c r="I270" s="160"/>
      <c r="J270" s="133"/>
    </row>
    <row r="271" spans="1:10" ht="12.75">
      <c r="A271" s="131"/>
      <c r="B271" s="132"/>
      <c r="C271" s="132"/>
      <c r="D271" s="132"/>
      <c r="E271" s="132"/>
      <c r="F271" s="160"/>
      <c r="G271" s="160"/>
      <c r="H271" s="160"/>
      <c r="I271" s="160"/>
      <c r="J271" s="133"/>
    </row>
    <row r="272" spans="1:10" ht="12.75">
      <c r="A272" s="131"/>
      <c r="B272" s="132"/>
      <c r="C272" s="132"/>
      <c r="D272" s="132"/>
      <c r="E272" s="132"/>
      <c r="F272" s="160"/>
      <c r="G272" s="160"/>
      <c r="H272" s="160"/>
      <c r="I272" s="160"/>
      <c r="J272" s="133"/>
    </row>
    <row r="273" spans="1:10" ht="12.75">
      <c r="A273" s="131"/>
      <c r="B273" s="132"/>
      <c r="C273" s="132"/>
      <c r="D273" s="132"/>
      <c r="E273" s="132"/>
      <c r="F273" s="160"/>
      <c r="G273" s="160"/>
      <c r="H273" s="160"/>
      <c r="I273" s="160"/>
      <c r="J273" s="133"/>
    </row>
    <row r="274" spans="1:10" ht="12.75">
      <c r="A274" s="131"/>
      <c r="B274" s="132"/>
      <c r="C274" s="132"/>
      <c r="D274" s="132"/>
      <c r="E274" s="132"/>
      <c r="F274" s="160"/>
      <c r="G274" s="160"/>
      <c r="H274" s="160"/>
      <c r="I274" s="160"/>
      <c r="J274" s="133"/>
    </row>
    <row r="275" spans="1:10" ht="12.75">
      <c r="A275" s="131"/>
      <c r="B275" s="132"/>
      <c r="C275" s="132"/>
      <c r="D275" s="132"/>
      <c r="E275" s="132"/>
      <c r="F275" s="160"/>
      <c r="G275" s="160"/>
      <c r="H275" s="160"/>
      <c r="I275" s="160"/>
      <c r="J275" s="133"/>
    </row>
    <row r="277" spans="1:10" ht="13.5" thickBot="1">
      <c r="A277" s="158" t="s">
        <v>205</v>
      </c>
      <c r="B277" s="158"/>
      <c r="C277" s="159" t="str">
        <f>VLOOKUP(H277,AccNames,2,0)</f>
        <v>Rent Expense</v>
      </c>
      <c r="D277" s="158"/>
      <c r="E277" s="158"/>
      <c r="F277" s="158"/>
      <c r="G277" s="158" t="s">
        <v>206</v>
      </c>
      <c r="H277" s="159">
        <f>Assumptions!B26</f>
        <v>527</v>
      </c>
      <c r="I277" s="158"/>
      <c r="J277" s="158"/>
    </row>
    <row r="278" spans="1:10" ht="14.25" thickBot="1" thickTop="1">
      <c r="A278" s="258"/>
      <c r="B278" s="260" t="s">
        <v>17</v>
      </c>
      <c r="C278" s="261"/>
      <c r="D278" s="260" t="s">
        <v>207</v>
      </c>
      <c r="E278" s="260" t="s">
        <v>177</v>
      </c>
      <c r="F278" s="264" t="s">
        <v>38</v>
      </c>
      <c r="G278" s="264" t="s">
        <v>39</v>
      </c>
      <c r="H278" s="266" t="s">
        <v>208</v>
      </c>
      <c r="I278" s="267"/>
      <c r="J278" s="268"/>
    </row>
    <row r="279" spans="1:10" ht="13.5" thickTop="1">
      <c r="A279" s="259"/>
      <c r="B279" s="262"/>
      <c r="C279" s="263"/>
      <c r="D279" s="262"/>
      <c r="E279" s="262"/>
      <c r="F279" s="265"/>
      <c r="G279" s="265"/>
      <c r="H279" s="145" t="s">
        <v>38</v>
      </c>
      <c r="I279" s="145" t="s">
        <v>39</v>
      </c>
      <c r="J279" s="269"/>
    </row>
    <row r="280" spans="1:10" ht="12.75">
      <c r="A280" s="131"/>
      <c r="B280" s="132" t="str">
        <f>Assumptions!$G$31</f>
        <v>2006</v>
      </c>
      <c r="C280" s="132"/>
      <c r="D280" s="132"/>
      <c r="E280" s="132"/>
      <c r="F280" s="160"/>
      <c r="G280" s="160"/>
      <c r="H280" s="160"/>
      <c r="I280" s="160"/>
      <c r="J280" s="133"/>
    </row>
    <row r="281" spans="1:10" ht="12.75">
      <c r="A281" s="131"/>
      <c r="B281" s="132" t="str">
        <f>Assumptions!$G$32</f>
        <v>Jan.</v>
      </c>
      <c r="C281" s="132"/>
      <c r="D281" s="132"/>
      <c r="E281" s="162"/>
      <c r="F281" s="160"/>
      <c r="G281" s="160"/>
      <c r="H281" s="160"/>
      <c r="I281" s="160"/>
      <c r="J281" s="133"/>
    </row>
    <row r="282" spans="1:10" ht="12.75">
      <c r="A282" s="131"/>
      <c r="B282" s="132"/>
      <c r="C282" s="132"/>
      <c r="D282" s="132"/>
      <c r="E282" s="132"/>
      <c r="F282" s="160"/>
      <c r="G282" s="160"/>
      <c r="H282" s="160"/>
      <c r="I282" s="160"/>
      <c r="J282" s="133"/>
    </row>
    <row r="283" spans="1:10" ht="12.75">
      <c r="A283" s="131"/>
      <c r="B283" s="132"/>
      <c r="C283" s="132"/>
      <c r="D283" s="132"/>
      <c r="E283" s="132"/>
      <c r="F283" s="160"/>
      <c r="G283" s="160"/>
      <c r="H283" s="160"/>
      <c r="I283" s="160"/>
      <c r="J283" s="133"/>
    </row>
    <row r="284" spans="1:10" ht="12.75">
      <c r="A284" s="131"/>
      <c r="B284" s="132"/>
      <c r="C284" s="132"/>
      <c r="D284" s="132"/>
      <c r="E284" s="132"/>
      <c r="F284" s="160"/>
      <c r="G284" s="160"/>
      <c r="H284" s="160"/>
      <c r="I284" s="160"/>
      <c r="J284" s="133"/>
    </row>
    <row r="285" spans="1:10" ht="12.75">
      <c r="A285" s="131"/>
      <c r="B285" s="132"/>
      <c r="C285" s="132"/>
      <c r="D285" s="132"/>
      <c r="E285" s="132"/>
      <c r="F285" s="160"/>
      <c r="G285" s="160"/>
      <c r="H285" s="160"/>
      <c r="I285" s="160"/>
      <c r="J285" s="133"/>
    </row>
    <row r="286" spans="1:10" ht="12.75">
      <c r="A286" s="131"/>
      <c r="B286" s="132"/>
      <c r="C286" s="132"/>
      <c r="D286" s="132"/>
      <c r="E286" s="132"/>
      <c r="F286" s="160"/>
      <c r="G286" s="160"/>
      <c r="H286" s="160"/>
      <c r="I286" s="160"/>
      <c r="J286" s="133"/>
    </row>
    <row r="287" spans="1:10" ht="12.75">
      <c r="A287" s="131"/>
      <c r="B287" s="132"/>
      <c r="C287" s="132"/>
      <c r="D287" s="132"/>
      <c r="E287" s="132"/>
      <c r="F287" s="160"/>
      <c r="G287" s="160"/>
      <c r="H287" s="160"/>
      <c r="I287" s="160"/>
      <c r="J287" s="133"/>
    </row>
    <row r="289" spans="1:10" ht="13.5" thickBot="1">
      <c r="A289" s="158" t="s">
        <v>205</v>
      </c>
      <c r="B289" s="158"/>
      <c r="C289" s="159" t="str">
        <f>VLOOKUP(H289,AccNames,2,0)</f>
        <v>Miscellaneous Expense</v>
      </c>
      <c r="D289" s="158"/>
      <c r="E289" s="158"/>
      <c r="F289" s="158"/>
      <c r="G289" s="158" t="s">
        <v>206</v>
      </c>
      <c r="H289" s="159">
        <f>Assumptions!B27</f>
        <v>531</v>
      </c>
      <c r="I289" s="158"/>
      <c r="J289" s="158"/>
    </row>
    <row r="290" spans="1:10" ht="14.25" thickBot="1" thickTop="1">
      <c r="A290" s="258"/>
      <c r="B290" s="260" t="s">
        <v>17</v>
      </c>
      <c r="C290" s="261"/>
      <c r="D290" s="260" t="s">
        <v>207</v>
      </c>
      <c r="E290" s="260" t="s">
        <v>177</v>
      </c>
      <c r="F290" s="264" t="s">
        <v>38</v>
      </c>
      <c r="G290" s="264" t="s">
        <v>39</v>
      </c>
      <c r="H290" s="266" t="s">
        <v>208</v>
      </c>
      <c r="I290" s="267"/>
      <c r="J290" s="268"/>
    </row>
    <row r="291" spans="1:10" ht="13.5" thickTop="1">
      <c r="A291" s="259"/>
      <c r="B291" s="262"/>
      <c r="C291" s="263"/>
      <c r="D291" s="262"/>
      <c r="E291" s="262"/>
      <c r="F291" s="265"/>
      <c r="G291" s="265"/>
      <c r="H291" s="145" t="s">
        <v>38</v>
      </c>
      <c r="I291" s="145" t="s">
        <v>39</v>
      </c>
      <c r="J291" s="269"/>
    </row>
    <row r="292" spans="1:10" ht="12.75">
      <c r="A292" s="131"/>
      <c r="B292" s="132" t="str">
        <f>Assumptions!$G$31</f>
        <v>2006</v>
      </c>
      <c r="C292" s="132"/>
      <c r="D292" s="132"/>
      <c r="E292" s="132"/>
      <c r="F292" s="160"/>
      <c r="G292" s="160"/>
      <c r="H292" s="160"/>
      <c r="I292" s="160"/>
      <c r="J292" s="133"/>
    </row>
    <row r="293" spans="1:10" ht="12.75">
      <c r="A293" s="131"/>
      <c r="B293" s="132" t="str">
        <f>Assumptions!$G$32</f>
        <v>Jan.</v>
      </c>
      <c r="C293" s="132"/>
      <c r="D293" s="132"/>
      <c r="E293" s="162"/>
      <c r="F293" s="160"/>
      <c r="G293" s="160"/>
      <c r="H293" s="160"/>
      <c r="I293" s="160"/>
      <c r="J293" s="133"/>
    </row>
    <row r="294" spans="1:10" ht="12.75">
      <c r="A294" s="131"/>
      <c r="B294" s="132"/>
      <c r="C294" s="132"/>
      <c r="D294" s="132"/>
      <c r="E294" s="132"/>
      <c r="F294" s="160"/>
      <c r="G294" s="160"/>
      <c r="H294" s="160"/>
      <c r="I294" s="160"/>
      <c r="J294" s="133"/>
    </row>
    <row r="295" spans="1:10" ht="12.75">
      <c r="A295" s="131"/>
      <c r="B295" s="132"/>
      <c r="C295" s="132"/>
      <c r="D295" s="132"/>
      <c r="E295" s="132"/>
      <c r="F295" s="160"/>
      <c r="G295" s="160"/>
      <c r="H295" s="160"/>
      <c r="I295" s="160"/>
      <c r="J295" s="133"/>
    </row>
    <row r="296" spans="1:10" ht="12.75">
      <c r="A296" s="131"/>
      <c r="B296" s="132"/>
      <c r="C296" s="132"/>
      <c r="D296" s="132"/>
      <c r="E296" s="132"/>
      <c r="F296" s="160"/>
      <c r="G296" s="160"/>
      <c r="H296" s="160"/>
      <c r="I296" s="160"/>
      <c r="J296" s="133"/>
    </row>
    <row r="297" spans="1:10" ht="12.75">
      <c r="A297" s="131"/>
      <c r="B297" s="132"/>
      <c r="C297" s="132"/>
      <c r="D297" s="132"/>
      <c r="E297" s="132"/>
      <c r="F297" s="160"/>
      <c r="G297" s="160"/>
      <c r="H297" s="160"/>
      <c r="I297" s="160"/>
      <c r="J297" s="133"/>
    </row>
    <row r="298" spans="1:10" ht="12.75">
      <c r="A298" s="131"/>
      <c r="B298" s="132"/>
      <c r="C298" s="132"/>
      <c r="D298" s="132"/>
      <c r="E298" s="132"/>
      <c r="F298" s="160"/>
      <c r="G298" s="160"/>
      <c r="H298" s="160"/>
      <c r="I298" s="160"/>
      <c r="J298" s="133"/>
    </row>
    <row r="299" spans="1:10" ht="12.75">
      <c r="A299" s="131"/>
      <c r="B299" s="132"/>
      <c r="C299" s="132"/>
      <c r="D299" s="132"/>
      <c r="E299" s="132"/>
      <c r="F299" s="160"/>
      <c r="G299" s="160"/>
      <c r="H299" s="160"/>
      <c r="I299" s="160"/>
      <c r="J299" s="133"/>
    </row>
  </sheetData>
  <mergeCells count="200">
    <mergeCell ref="G2:G3"/>
    <mergeCell ref="H2:I2"/>
    <mergeCell ref="A2:A3"/>
    <mergeCell ref="J2:J3"/>
    <mergeCell ref="B2:C3"/>
    <mergeCell ref="D2:D3"/>
    <mergeCell ref="E2:E3"/>
    <mergeCell ref="F2:F3"/>
    <mergeCell ref="F290:F291"/>
    <mergeCell ref="G290:G291"/>
    <mergeCell ref="H290:I290"/>
    <mergeCell ref="J290:J291"/>
    <mergeCell ref="A290:A291"/>
    <mergeCell ref="B290:C291"/>
    <mergeCell ref="D290:D291"/>
    <mergeCell ref="E290:E291"/>
    <mergeCell ref="F278:F279"/>
    <mergeCell ref="G278:G279"/>
    <mergeCell ref="H278:I278"/>
    <mergeCell ref="J278:J279"/>
    <mergeCell ref="A278:A279"/>
    <mergeCell ref="B278:C279"/>
    <mergeCell ref="D278:D279"/>
    <mergeCell ref="E278:E279"/>
    <mergeCell ref="F266:F267"/>
    <mergeCell ref="G266:G267"/>
    <mergeCell ref="H266:I266"/>
    <mergeCell ref="J266:J267"/>
    <mergeCell ref="A266:A267"/>
    <mergeCell ref="B266:C267"/>
    <mergeCell ref="D266:D267"/>
    <mergeCell ref="E266:E267"/>
    <mergeCell ref="F254:F255"/>
    <mergeCell ref="G254:G255"/>
    <mergeCell ref="H254:I254"/>
    <mergeCell ref="J254:J255"/>
    <mergeCell ref="A254:A255"/>
    <mergeCell ref="B254:C255"/>
    <mergeCell ref="D254:D255"/>
    <mergeCell ref="E254:E255"/>
    <mergeCell ref="F242:F243"/>
    <mergeCell ref="G242:G243"/>
    <mergeCell ref="H242:I242"/>
    <mergeCell ref="J242:J243"/>
    <mergeCell ref="A242:A243"/>
    <mergeCell ref="B242:C243"/>
    <mergeCell ref="D242:D243"/>
    <mergeCell ref="E242:E243"/>
    <mergeCell ref="F230:F231"/>
    <mergeCell ref="G230:G231"/>
    <mergeCell ref="H230:I230"/>
    <mergeCell ref="J230:J231"/>
    <mergeCell ref="A230:A231"/>
    <mergeCell ref="B230:C231"/>
    <mergeCell ref="D230:D231"/>
    <mergeCell ref="E230:E231"/>
    <mergeCell ref="F218:F219"/>
    <mergeCell ref="G218:G219"/>
    <mergeCell ref="H218:I218"/>
    <mergeCell ref="J218:J219"/>
    <mergeCell ref="A218:A219"/>
    <mergeCell ref="B218:C219"/>
    <mergeCell ref="D218:D219"/>
    <mergeCell ref="E218:E219"/>
    <mergeCell ref="F206:F207"/>
    <mergeCell ref="G206:G207"/>
    <mergeCell ref="H206:I206"/>
    <mergeCell ref="J206:J207"/>
    <mergeCell ref="A206:A207"/>
    <mergeCell ref="B206:C207"/>
    <mergeCell ref="D206:D207"/>
    <mergeCell ref="E206:E207"/>
    <mergeCell ref="F194:F195"/>
    <mergeCell ref="G194:G195"/>
    <mergeCell ref="H194:I194"/>
    <mergeCell ref="J194:J195"/>
    <mergeCell ref="A194:A195"/>
    <mergeCell ref="B194:C195"/>
    <mergeCell ref="D194:D195"/>
    <mergeCell ref="E194:E195"/>
    <mergeCell ref="F182:F183"/>
    <mergeCell ref="G182:G183"/>
    <mergeCell ref="H182:I182"/>
    <mergeCell ref="J182:J183"/>
    <mergeCell ref="A182:A183"/>
    <mergeCell ref="B182:C183"/>
    <mergeCell ref="D182:D183"/>
    <mergeCell ref="E182:E183"/>
    <mergeCell ref="F170:F171"/>
    <mergeCell ref="G170:G171"/>
    <mergeCell ref="H170:I170"/>
    <mergeCell ref="J170:J171"/>
    <mergeCell ref="A170:A171"/>
    <mergeCell ref="B170:C171"/>
    <mergeCell ref="D170:D171"/>
    <mergeCell ref="E170:E171"/>
    <mergeCell ref="F158:F159"/>
    <mergeCell ref="G158:G159"/>
    <mergeCell ref="H158:I158"/>
    <mergeCell ref="J158:J159"/>
    <mergeCell ref="A158:A159"/>
    <mergeCell ref="B158:C159"/>
    <mergeCell ref="D158:D159"/>
    <mergeCell ref="E158:E159"/>
    <mergeCell ref="F146:F147"/>
    <mergeCell ref="G146:G147"/>
    <mergeCell ref="H146:I146"/>
    <mergeCell ref="J146:J147"/>
    <mergeCell ref="A146:A147"/>
    <mergeCell ref="B146:C147"/>
    <mergeCell ref="D146:D147"/>
    <mergeCell ref="E146:E147"/>
    <mergeCell ref="F134:F135"/>
    <mergeCell ref="G134:G135"/>
    <mergeCell ref="H134:I134"/>
    <mergeCell ref="J134:J135"/>
    <mergeCell ref="A134:A135"/>
    <mergeCell ref="B134:C135"/>
    <mergeCell ref="D134:D135"/>
    <mergeCell ref="E134:E135"/>
    <mergeCell ref="F122:F123"/>
    <mergeCell ref="G122:G123"/>
    <mergeCell ref="H122:I122"/>
    <mergeCell ref="J122:J123"/>
    <mergeCell ref="A122:A123"/>
    <mergeCell ref="B122:C123"/>
    <mergeCell ref="D122:D123"/>
    <mergeCell ref="E122:E123"/>
    <mergeCell ref="F110:F111"/>
    <mergeCell ref="G110:G111"/>
    <mergeCell ref="H110:I110"/>
    <mergeCell ref="J110:J111"/>
    <mergeCell ref="A110:A111"/>
    <mergeCell ref="B110:C111"/>
    <mergeCell ref="D110:D111"/>
    <mergeCell ref="E110:E111"/>
    <mergeCell ref="F98:F99"/>
    <mergeCell ref="G98:G99"/>
    <mergeCell ref="H98:I98"/>
    <mergeCell ref="J98:J99"/>
    <mergeCell ref="A98:A99"/>
    <mergeCell ref="B98:C99"/>
    <mergeCell ref="D98:D99"/>
    <mergeCell ref="E98:E99"/>
    <mergeCell ref="F86:F87"/>
    <mergeCell ref="G86:G87"/>
    <mergeCell ref="H86:I86"/>
    <mergeCell ref="J86:J87"/>
    <mergeCell ref="A86:A87"/>
    <mergeCell ref="B86:C87"/>
    <mergeCell ref="D86:D87"/>
    <mergeCell ref="E86:E87"/>
    <mergeCell ref="F74:F75"/>
    <mergeCell ref="G74:G75"/>
    <mergeCell ref="H74:I74"/>
    <mergeCell ref="J74:J75"/>
    <mergeCell ref="A74:A75"/>
    <mergeCell ref="B74:C75"/>
    <mergeCell ref="D74:D75"/>
    <mergeCell ref="E74:E75"/>
    <mergeCell ref="F62:F63"/>
    <mergeCell ref="G62:G63"/>
    <mergeCell ref="H62:I62"/>
    <mergeCell ref="J62:J63"/>
    <mergeCell ref="A62:A63"/>
    <mergeCell ref="B62:C63"/>
    <mergeCell ref="D62:D63"/>
    <mergeCell ref="E62:E63"/>
    <mergeCell ref="F50:F51"/>
    <mergeCell ref="G50:G51"/>
    <mergeCell ref="H50:I50"/>
    <mergeCell ref="J50:J51"/>
    <mergeCell ref="A50:A51"/>
    <mergeCell ref="B50:C51"/>
    <mergeCell ref="D50:D51"/>
    <mergeCell ref="E50:E51"/>
    <mergeCell ref="F38:F39"/>
    <mergeCell ref="G38:G39"/>
    <mergeCell ref="H38:I38"/>
    <mergeCell ref="J38:J39"/>
    <mergeCell ref="A38:A39"/>
    <mergeCell ref="B38:C39"/>
    <mergeCell ref="D38:D39"/>
    <mergeCell ref="E38:E39"/>
    <mergeCell ref="F26:F27"/>
    <mergeCell ref="G26:G27"/>
    <mergeCell ref="H26:I26"/>
    <mergeCell ref="J26:J27"/>
    <mergeCell ref="A26:A27"/>
    <mergeCell ref="B26:C27"/>
    <mergeCell ref="D26:D27"/>
    <mergeCell ref="E26:E27"/>
    <mergeCell ref="F14:F15"/>
    <mergeCell ref="G14:G15"/>
    <mergeCell ref="H14:I14"/>
    <mergeCell ref="J14:J15"/>
    <mergeCell ref="A14:A15"/>
    <mergeCell ref="B14:C15"/>
    <mergeCell ref="D14:D15"/>
    <mergeCell ref="E14:E15"/>
  </mergeCells>
  <dataValidations count="3">
    <dataValidation type="list" allowBlank="1" showInputMessage="1" showErrorMessage="1" sqref="H1 H289 H277 H265 H253 H241 H229 H217 H205 H193 H181 H169 H157 H145 H133 H121 H109 H97 H85 H73 H61 H49 H37 H25 H13">
      <formula1>AccNo</formula1>
    </dataValidation>
    <dataValidation type="list" allowBlank="1" showInputMessage="1" showErrorMessage="1" sqref="D4:D11 D280:D287 D268:D275 D256:D263 D244:D251 D232:D239 D220:D227 D208:D215 D196:D203 D112:D119 D184:D191 D172:D179 D160:D167 D148:D155 D136:D143 D124:D131 D88:D95 D100:D107 D76:D83 D64:D71 D52:D59 D40:D47 D28:D35 D16:D23 D292:D299">
      <formula1>ItemNames</formula1>
    </dataValidation>
    <dataValidation type="list" allowBlank="1" showInputMessage="1" showErrorMessage="1" sqref="E4:E11 E280:E287 E268:E275 E256:E263 E244:E251 E232:E239 E220:E227 E208:E215 E196:E203 E112:E119 E184:E191 E172:E179 E160:E167 E148:E155 E136:E143 E124:E131 E88:E95 E100:E107 E76:E83 E64:E71 E52:E59 E40:E47 E28:E35 E16:E23 E292:E299">
      <formula1>JournalNo</formula1>
    </dataValidation>
  </dataValidation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tabColor indexed="11"/>
  </sheetPr>
  <dimension ref="A1:J77"/>
  <sheetViews>
    <sheetView showGridLines="0" workbookViewId="0" topLeftCell="A1">
      <selection activeCell="A1" sqref="A1"/>
    </sheetView>
  </sheetViews>
  <sheetFormatPr defaultColWidth="9.140625" defaultRowHeight="12.75"/>
  <cols>
    <col min="1" max="1" width="2.7109375" style="0" customWidth="1"/>
    <col min="3" max="3" width="4.28125" style="0" customWidth="1"/>
    <col min="5" max="5" width="6.8515625" style="0" customWidth="1"/>
    <col min="6" max="6" width="9.28125" style="0" bestFit="1" customWidth="1"/>
    <col min="7" max="7" width="10.28125" style="0" bestFit="1" customWidth="1"/>
    <col min="8" max="8" width="11.28125" style="0" bestFit="1" customWidth="1"/>
    <col min="9" max="9" width="10.421875" style="0" bestFit="1" customWidth="1"/>
    <col min="10" max="10" width="2.7109375" style="0" customWidth="1"/>
  </cols>
  <sheetData>
    <row r="1" spans="2:3" ht="12.75">
      <c r="B1" s="164" t="s">
        <v>210</v>
      </c>
      <c r="C1" s="164" t="str">
        <f>Assumptions!H54</f>
        <v>Bryan Supply</v>
      </c>
    </row>
    <row r="2" spans="1:10" ht="13.5" thickBot="1">
      <c r="A2" s="158"/>
      <c r="B2" s="159" t="s">
        <v>211</v>
      </c>
      <c r="C2" s="159"/>
      <c r="D2" s="158"/>
      <c r="E2" s="158"/>
      <c r="F2" s="158"/>
      <c r="G2" s="158"/>
      <c r="H2" s="159"/>
      <c r="I2" s="158"/>
      <c r="J2" s="158"/>
    </row>
    <row r="3" spans="1:10" ht="14.25" thickBot="1" thickTop="1">
      <c r="A3" s="258"/>
      <c r="B3" s="260" t="s">
        <v>17</v>
      </c>
      <c r="C3" s="261"/>
      <c r="D3" s="260" t="s">
        <v>207</v>
      </c>
      <c r="E3" s="260" t="s">
        <v>177</v>
      </c>
      <c r="F3" s="264" t="s">
        <v>38</v>
      </c>
      <c r="G3" s="264" t="s">
        <v>39</v>
      </c>
      <c r="H3" s="266" t="s">
        <v>208</v>
      </c>
      <c r="I3" s="267"/>
      <c r="J3" s="268"/>
    </row>
    <row r="4" spans="1:10" ht="13.5" thickTop="1">
      <c r="A4" s="259"/>
      <c r="B4" s="262"/>
      <c r="C4" s="263"/>
      <c r="D4" s="262"/>
      <c r="E4" s="262"/>
      <c r="F4" s="265"/>
      <c r="G4" s="265"/>
      <c r="H4" s="145" t="s">
        <v>38</v>
      </c>
      <c r="I4" s="145" t="s">
        <v>39</v>
      </c>
      <c r="J4" s="269"/>
    </row>
    <row r="5" spans="1:10" ht="12.75">
      <c r="A5" s="131"/>
      <c r="B5" s="132" t="str">
        <f>Assumptions!$G$31</f>
        <v>2006</v>
      </c>
      <c r="C5" s="132"/>
      <c r="D5" s="132"/>
      <c r="E5" s="132"/>
      <c r="F5" s="132"/>
      <c r="G5" s="132"/>
      <c r="H5" s="132"/>
      <c r="I5" s="132"/>
      <c r="J5" s="133"/>
    </row>
    <row r="6" spans="1:10" ht="12.75">
      <c r="A6" s="131"/>
      <c r="B6" s="132" t="str">
        <f>Assumptions!$G$32</f>
        <v>Jan.</v>
      </c>
      <c r="C6" s="132"/>
      <c r="D6" s="132"/>
      <c r="E6" s="162"/>
      <c r="F6" s="160"/>
      <c r="G6" s="132"/>
      <c r="H6" s="160"/>
      <c r="I6" s="160"/>
      <c r="J6" s="133"/>
    </row>
    <row r="7" spans="1:10" ht="12.75">
      <c r="A7" s="131"/>
      <c r="B7" s="132"/>
      <c r="C7" s="132"/>
      <c r="D7" s="132"/>
      <c r="E7" s="132"/>
      <c r="F7" s="132"/>
      <c r="G7" s="132"/>
      <c r="H7" s="160"/>
      <c r="I7" s="160"/>
      <c r="J7" s="133"/>
    </row>
    <row r="8" spans="1:10" ht="12.75">
      <c r="A8" s="131"/>
      <c r="B8" s="132"/>
      <c r="C8" s="132"/>
      <c r="D8" s="132"/>
      <c r="E8" s="132"/>
      <c r="F8" s="132"/>
      <c r="G8" s="132"/>
      <c r="H8" s="160"/>
      <c r="I8" s="160"/>
      <c r="J8" s="133"/>
    </row>
    <row r="9" spans="1:10" ht="12.75">
      <c r="A9" s="131"/>
      <c r="B9" s="132"/>
      <c r="C9" s="132"/>
      <c r="D9" s="132"/>
      <c r="E9" s="132"/>
      <c r="F9" s="132"/>
      <c r="G9" s="132"/>
      <c r="H9" s="160"/>
      <c r="I9" s="160"/>
      <c r="J9" s="133"/>
    </row>
    <row r="10" spans="1:10" ht="12.75">
      <c r="A10" s="131"/>
      <c r="B10" s="132"/>
      <c r="C10" s="132"/>
      <c r="D10" s="132"/>
      <c r="E10" s="132"/>
      <c r="F10" s="132"/>
      <c r="G10" s="132"/>
      <c r="H10" s="160"/>
      <c r="I10" s="160"/>
      <c r="J10" s="133"/>
    </row>
    <row r="11" spans="1:10" ht="12.75">
      <c r="A11" s="131"/>
      <c r="B11" s="132"/>
      <c r="C11" s="132"/>
      <c r="D11" s="132"/>
      <c r="E11" s="132"/>
      <c r="F11" s="132"/>
      <c r="G11" s="132"/>
      <c r="H11" s="160"/>
      <c r="I11" s="160"/>
      <c r="J11" s="133"/>
    </row>
    <row r="12" spans="1:10" ht="12.75">
      <c r="A12" s="131"/>
      <c r="B12" s="132"/>
      <c r="C12" s="132"/>
      <c r="D12" s="132"/>
      <c r="E12" s="132"/>
      <c r="F12" s="132"/>
      <c r="G12" s="132"/>
      <c r="H12" s="160"/>
      <c r="I12" s="160"/>
      <c r="J12" s="133"/>
    </row>
    <row r="14" spans="2:3" ht="12.75">
      <c r="B14" s="164" t="s">
        <v>210</v>
      </c>
      <c r="C14" s="164" t="str">
        <f>Assumptions!H55</f>
        <v>English and Cole</v>
      </c>
    </row>
    <row r="15" spans="1:10" ht="13.5" thickBot="1">
      <c r="A15" s="158"/>
      <c r="B15" s="159" t="s">
        <v>211</v>
      </c>
      <c r="C15" s="159"/>
      <c r="D15" s="158"/>
      <c r="E15" s="158"/>
      <c r="F15" s="158"/>
      <c r="G15" s="158"/>
      <c r="H15" s="159"/>
      <c r="I15" s="158"/>
      <c r="J15" s="158"/>
    </row>
    <row r="16" spans="1:10" ht="14.25" thickBot="1" thickTop="1">
      <c r="A16" s="258"/>
      <c r="B16" s="260" t="s">
        <v>17</v>
      </c>
      <c r="C16" s="261"/>
      <c r="D16" s="260" t="s">
        <v>207</v>
      </c>
      <c r="E16" s="260" t="s">
        <v>177</v>
      </c>
      <c r="F16" s="264" t="s">
        <v>38</v>
      </c>
      <c r="G16" s="264" t="s">
        <v>39</v>
      </c>
      <c r="H16" s="266" t="s">
        <v>208</v>
      </c>
      <c r="I16" s="267"/>
      <c r="J16" s="268"/>
    </row>
    <row r="17" spans="1:10" ht="13.5" thickTop="1">
      <c r="A17" s="259"/>
      <c r="B17" s="262"/>
      <c r="C17" s="263"/>
      <c r="D17" s="262"/>
      <c r="E17" s="262"/>
      <c r="F17" s="265"/>
      <c r="G17" s="265"/>
      <c r="H17" s="145" t="s">
        <v>38</v>
      </c>
      <c r="I17" s="145" t="s">
        <v>39</v>
      </c>
      <c r="J17" s="269"/>
    </row>
    <row r="18" spans="1:10" ht="12.75">
      <c r="A18" s="131"/>
      <c r="B18" s="132" t="str">
        <f>Assumptions!$G$31</f>
        <v>2006</v>
      </c>
      <c r="C18" s="132"/>
      <c r="D18" s="132"/>
      <c r="E18" s="132"/>
      <c r="F18" s="132"/>
      <c r="G18" s="132"/>
      <c r="H18" s="132"/>
      <c r="I18" s="132"/>
      <c r="J18" s="133"/>
    </row>
    <row r="19" spans="1:10" ht="12.75">
      <c r="A19" s="131"/>
      <c r="B19" s="132" t="str">
        <f>Assumptions!$G$32</f>
        <v>Jan.</v>
      </c>
      <c r="C19" s="132"/>
      <c r="D19" s="132"/>
      <c r="E19" s="162"/>
      <c r="F19" s="160"/>
      <c r="G19" s="132"/>
      <c r="H19" s="160"/>
      <c r="I19" s="160"/>
      <c r="J19" s="133"/>
    </row>
    <row r="20" spans="1:10" ht="12.75">
      <c r="A20" s="131"/>
      <c r="B20" s="132"/>
      <c r="C20" s="132"/>
      <c r="D20" s="132"/>
      <c r="E20" s="132"/>
      <c r="F20" s="132"/>
      <c r="G20" s="132"/>
      <c r="H20" s="160"/>
      <c r="I20" s="160"/>
      <c r="J20" s="133"/>
    </row>
    <row r="21" spans="1:10" ht="12.75">
      <c r="A21" s="131"/>
      <c r="B21" s="132"/>
      <c r="C21" s="132"/>
      <c r="D21" s="132"/>
      <c r="E21" s="132"/>
      <c r="F21" s="132"/>
      <c r="G21" s="132"/>
      <c r="H21" s="160"/>
      <c r="I21" s="160"/>
      <c r="J21" s="133"/>
    </row>
    <row r="22" spans="1:10" ht="12.75">
      <c r="A22" s="131"/>
      <c r="B22" s="132"/>
      <c r="C22" s="132"/>
      <c r="D22" s="132"/>
      <c r="E22" s="132"/>
      <c r="F22" s="132"/>
      <c r="G22" s="132"/>
      <c r="H22" s="160"/>
      <c r="I22" s="160"/>
      <c r="J22" s="133"/>
    </row>
    <row r="23" spans="1:10" ht="12.75">
      <c r="A23" s="131"/>
      <c r="B23" s="132"/>
      <c r="C23" s="132"/>
      <c r="D23" s="132"/>
      <c r="E23" s="132"/>
      <c r="F23" s="132"/>
      <c r="G23" s="132"/>
      <c r="H23" s="160"/>
      <c r="I23" s="160"/>
      <c r="J23" s="133"/>
    </row>
    <row r="24" spans="1:10" ht="12.75">
      <c r="A24" s="131"/>
      <c r="B24" s="132"/>
      <c r="C24" s="132"/>
      <c r="D24" s="132"/>
      <c r="E24" s="132"/>
      <c r="F24" s="132"/>
      <c r="G24" s="132"/>
      <c r="H24" s="160"/>
      <c r="I24" s="160"/>
      <c r="J24" s="133"/>
    </row>
    <row r="25" spans="1:10" ht="12.75">
      <c r="A25" s="131"/>
      <c r="B25" s="132"/>
      <c r="C25" s="132"/>
      <c r="D25" s="132"/>
      <c r="E25" s="132"/>
      <c r="F25" s="132"/>
      <c r="G25" s="132"/>
      <c r="H25" s="160"/>
      <c r="I25" s="160"/>
      <c r="J25" s="133"/>
    </row>
    <row r="27" spans="2:3" ht="12.75">
      <c r="B27" s="164" t="s">
        <v>210</v>
      </c>
      <c r="C27" s="164" t="str">
        <f>Assumptions!H56</f>
        <v>L. Parker</v>
      </c>
    </row>
    <row r="28" spans="1:10" ht="13.5" thickBot="1">
      <c r="A28" s="158"/>
      <c r="B28" s="159" t="s">
        <v>211</v>
      </c>
      <c r="C28" s="159"/>
      <c r="D28" s="158"/>
      <c r="E28" s="158"/>
      <c r="F28" s="158"/>
      <c r="G28" s="158"/>
      <c r="H28" s="159"/>
      <c r="I28" s="158"/>
      <c r="J28" s="158"/>
    </row>
    <row r="29" spans="1:10" ht="14.25" thickBot="1" thickTop="1">
      <c r="A29" s="258"/>
      <c r="B29" s="260" t="s">
        <v>17</v>
      </c>
      <c r="C29" s="261"/>
      <c r="D29" s="260" t="s">
        <v>207</v>
      </c>
      <c r="E29" s="260" t="s">
        <v>177</v>
      </c>
      <c r="F29" s="264" t="s">
        <v>38</v>
      </c>
      <c r="G29" s="264" t="s">
        <v>39</v>
      </c>
      <c r="H29" s="266" t="s">
        <v>208</v>
      </c>
      <c r="I29" s="267"/>
      <c r="J29" s="268"/>
    </row>
    <row r="30" spans="1:10" ht="13.5" thickTop="1">
      <c r="A30" s="259"/>
      <c r="B30" s="262"/>
      <c r="C30" s="263"/>
      <c r="D30" s="262"/>
      <c r="E30" s="262"/>
      <c r="F30" s="265"/>
      <c r="G30" s="265"/>
      <c r="H30" s="145" t="s">
        <v>38</v>
      </c>
      <c r="I30" s="145" t="s">
        <v>39</v>
      </c>
      <c r="J30" s="269"/>
    </row>
    <row r="31" spans="1:10" ht="12.75">
      <c r="A31" s="131"/>
      <c r="B31" s="132" t="str">
        <f>Assumptions!$G$31</f>
        <v>2006</v>
      </c>
      <c r="C31" s="132"/>
      <c r="D31" s="132"/>
      <c r="E31" s="132"/>
      <c r="F31" s="132"/>
      <c r="G31" s="132"/>
      <c r="H31" s="132"/>
      <c r="I31" s="132"/>
      <c r="J31" s="133"/>
    </row>
    <row r="32" spans="1:10" ht="12.75">
      <c r="A32" s="131"/>
      <c r="B32" s="132" t="str">
        <f>Assumptions!$G$32</f>
        <v>Jan.</v>
      </c>
      <c r="C32" s="132"/>
      <c r="D32" s="132"/>
      <c r="E32" s="162"/>
      <c r="F32" s="160"/>
      <c r="G32" s="132"/>
      <c r="H32" s="160"/>
      <c r="I32" s="160"/>
      <c r="J32" s="133"/>
    </row>
    <row r="33" spans="1:10" ht="12.75">
      <c r="A33" s="131"/>
      <c r="B33" s="132"/>
      <c r="C33" s="132"/>
      <c r="D33" s="132"/>
      <c r="E33" s="132"/>
      <c r="F33" s="132"/>
      <c r="G33" s="132"/>
      <c r="H33" s="160"/>
      <c r="I33" s="160"/>
      <c r="J33" s="133"/>
    </row>
    <row r="34" spans="1:10" ht="12.75">
      <c r="A34" s="131"/>
      <c r="B34" s="132"/>
      <c r="C34" s="132"/>
      <c r="D34" s="132"/>
      <c r="E34" s="132"/>
      <c r="F34" s="132"/>
      <c r="G34" s="132"/>
      <c r="H34" s="160"/>
      <c r="I34" s="160"/>
      <c r="J34" s="133"/>
    </row>
    <row r="35" spans="1:10" ht="12.75">
      <c r="A35" s="131"/>
      <c r="B35" s="132"/>
      <c r="C35" s="132"/>
      <c r="D35" s="132"/>
      <c r="E35" s="132"/>
      <c r="F35" s="132"/>
      <c r="G35" s="132"/>
      <c r="H35" s="160"/>
      <c r="I35" s="160"/>
      <c r="J35" s="133"/>
    </row>
    <row r="36" spans="1:10" ht="12.75">
      <c r="A36" s="131"/>
      <c r="B36" s="132"/>
      <c r="C36" s="132"/>
      <c r="D36" s="132"/>
      <c r="E36" s="132"/>
      <c r="F36" s="132"/>
      <c r="G36" s="132"/>
      <c r="H36" s="160"/>
      <c r="I36" s="160"/>
      <c r="J36" s="133"/>
    </row>
    <row r="37" spans="1:10" ht="12.75">
      <c r="A37" s="131"/>
      <c r="B37" s="132"/>
      <c r="C37" s="132"/>
      <c r="D37" s="132"/>
      <c r="E37" s="132"/>
      <c r="F37" s="132"/>
      <c r="G37" s="132"/>
      <c r="H37" s="160"/>
      <c r="I37" s="160"/>
      <c r="J37" s="133"/>
    </row>
    <row r="38" spans="1:10" ht="12.75">
      <c r="A38" s="131"/>
      <c r="B38" s="132"/>
      <c r="C38" s="132"/>
      <c r="D38" s="132"/>
      <c r="E38" s="132"/>
      <c r="F38" s="132"/>
      <c r="G38" s="132"/>
      <c r="H38" s="160"/>
      <c r="I38" s="160"/>
      <c r="J38" s="133"/>
    </row>
    <row r="40" spans="2:3" ht="12.75">
      <c r="B40" s="164" t="s">
        <v>210</v>
      </c>
      <c r="C40" s="164" t="str">
        <f>Assumptions!H57</f>
        <v>Peterson, Inc.</v>
      </c>
    </row>
    <row r="41" spans="1:10" ht="13.5" thickBot="1">
      <c r="A41" s="158"/>
      <c r="B41" s="159" t="s">
        <v>211</v>
      </c>
      <c r="C41" s="159"/>
      <c r="D41" s="158"/>
      <c r="E41" s="158"/>
      <c r="F41" s="158"/>
      <c r="G41" s="158"/>
      <c r="H41" s="159"/>
      <c r="I41" s="158"/>
      <c r="J41" s="158"/>
    </row>
    <row r="42" spans="1:10" ht="14.25" thickBot="1" thickTop="1">
      <c r="A42" s="258"/>
      <c r="B42" s="260" t="s">
        <v>17</v>
      </c>
      <c r="C42" s="261"/>
      <c r="D42" s="260" t="s">
        <v>207</v>
      </c>
      <c r="E42" s="260" t="s">
        <v>177</v>
      </c>
      <c r="F42" s="264" t="s">
        <v>38</v>
      </c>
      <c r="G42" s="264" t="s">
        <v>39</v>
      </c>
      <c r="H42" s="266" t="s">
        <v>208</v>
      </c>
      <c r="I42" s="267"/>
      <c r="J42" s="268"/>
    </row>
    <row r="43" spans="1:10" ht="13.5" thickTop="1">
      <c r="A43" s="259"/>
      <c r="B43" s="262"/>
      <c r="C43" s="263"/>
      <c r="D43" s="262"/>
      <c r="E43" s="262"/>
      <c r="F43" s="265"/>
      <c r="G43" s="265"/>
      <c r="H43" s="145" t="s">
        <v>38</v>
      </c>
      <c r="I43" s="145" t="s">
        <v>39</v>
      </c>
      <c r="J43" s="269"/>
    </row>
    <row r="44" spans="1:10" ht="12.75">
      <c r="A44" s="131"/>
      <c r="B44" s="132" t="str">
        <f>Assumptions!$G$31</f>
        <v>2006</v>
      </c>
      <c r="C44" s="132"/>
      <c r="D44" s="132"/>
      <c r="E44" s="132"/>
      <c r="F44" s="132"/>
      <c r="G44" s="132"/>
      <c r="H44" s="132"/>
      <c r="I44" s="132"/>
      <c r="J44" s="133"/>
    </row>
    <row r="45" spans="1:10" ht="12.75">
      <c r="A45" s="131"/>
      <c r="B45" s="132" t="str">
        <f>Assumptions!$G$32</f>
        <v>Jan.</v>
      </c>
      <c r="C45" s="180" t="str">
        <f>Assumptions!$G$33</f>
        <v>1</v>
      </c>
      <c r="D45" s="132" t="s">
        <v>152</v>
      </c>
      <c r="E45" s="161" t="s">
        <v>209</v>
      </c>
      <c r="F45" s="132"/>
      <c r="G45" s="132"/>
      <c r="H45" s="160">
        <f>Assumptions!G57</f>
        <v>650</v>
      </c>
      <c r="I45" s="160"/>
      <c r="J45" s="133"/>
    </row>
    <row r="46" spans="1:10" ht="12.75">
      <c r="A46" s="131"/>
      <c r="B46" s="132"/>
      <c r="C46" s="132"/>
      <c r="D46" s="132"/>
      <c r="E46" s="132"/>
      <c r="F46" s="132"/>
      <c r="G46" s="168"/>
      <c r="H46" s="160"/>
      <c r="I46" s="160"/>
      <c r="J46" s="133"/>
    </row>
    <row r="47" spans="1:10" ht="12.75">
      <c r="A47" s="131"/>
      <c r="B47" s="132"/>
      <c r="C47" s="132"/>
      <c r="D47" s="132"/>
      <c r="E47" s="132"/>
      <c r="F47" s="132"/>
      <c r="G47" s="132"/>
      <c r="H47" s="160"/>
      <c r="I47" s="160"/>
      <c r="J47" s="133"/>
    </row>
    <row r="48" spans="1:10" ht="12.75">
      <c r="A48" s="131"/>
      <c r="B48" s="132"/>
      <c r="C48" s="132"/>
      <c r="D48" s="132"/>
      <c r="E48" s="132"/>
      <c r="F48" s="132"/>
      <c r="G48" s="132"/>
      <c r="H48" s="160"/>
      <c r="I48" s="160"/>
      <c r="J48" s="133"/>
    </row>
    <row r="49" spans="1:10" ht="12.75">
      <c r="A49" s="131"/>
      <c r="B49" s="132"/>
      <c r="C49" s="132"/>
      <c r="D49" s="132"/>
      <c r="E49" s="132"/>
      <c r="F49" s="132"/>
      <c r="G49" s="132"/>
      <c r="H49" s="160"/>
      <c r="I49" s="160"/>
      <c r="J49" s="133"/>
    </row>
    <row r="50" spans="1:10" ht="12.75">
      <c r="A50" s="131"/>
      <c r="B50" s="132"/>
      <c r="C50" s="132"/>
      <c r="D50" s="132"/>
      <c r="E50" s="132"/>
      <c r="F50" s="132"/>
      <c r="G50" s="132"/>
      <c r="H50" s="160"/>
      <c r="I50" s="160"/>
      <c r="J50" s="133"/>
    </row>
    <row r="51" spans="1:10" ht="12.75">
      <c r="A51" s="131"/>
      <c r="B51" s="132"/>
      <c r="C51" s="132"/>
      <c r="D51" s="132"/>
      <c r="E51" s="132"/>
      <c r="F51" s="132"/>
      <c r="G51" s="132"/>
      <c r="H51" s="160"/>
      <c r="I51" s="160"/>
      <c r="J51" s="133"/>
    </row>
    <row r="53" spans="2:3" ht="12.75">
      <c r="B53" s="164" t="s">
        <v>210</v>
      </c>
      <c r="C53" s="164" t="str">
        <f>Assumptions!H58</f>
        <v>Vessey Appliance</v>
      </c>
    </row>
    <row r="54" spans="1:10" ht="13.5" thickBot="1">
      <c r="A54" s="158"/>
      <c r="B54" s="159" t="s">
        <v>211</v>
      </c>
      <c r="C54" s="159"/>
      <c r="D54" s="158"/>
      <c r="E54" s="158"/>
      <c r="F54" s="158"/>
      <c r="G54" s="158"/>
      <c r="H54" s="159"/>
      <c r="I54" s="158"/>
      <c r="J54" s="158"/>
    </row>
    <row r="55" spans="1:10" ht="14.25" thickBot="1" thickTop="1">
      <c r="A55" s="258"/>
      <c r="B55" s="260" t="s">
        <v>17</v>
      </c>
      <c r="C55" s="261"/>
      <c r="D55" s="260" t="s">
        <v>207</v>
      </c>
      <c r="E55" s="260" t="s">
        <v>177</v>
      </c>
      <c r="F55" s="264" t="s">
        <v>38</v>
      </c>
      <c r="G55" s="264" t="s">
        <v>39</v>
      </c>
      <c r="H55" s="266" t="s">
        <v>208</v>
      </c>
      <c r="I55" s="267"/>
      <c r="J55" s="268"/>
    </row>
    <row r="56" spans="1:10" ht="13.5" thickTop="1">
      <c r="A56" s="259"/>
      <c r="B56" s="262"/>
      <c r="C56" s="263"/>
      <c r="D56" s="262"/>
      <c r="E56" s="262"/>
      <c r="F56" s="265"/>
      <c r="G56" s="265"/>
      <c r="H56" s="145" t="s">
        <v>38</v>
      </c>
      <c r="I56" s="145" t="s">
        <v>39</v>
      </c>
      <c r="J56" s="269"/>
    </row>
    <row r="57" spans="1:10" ht="12.75">
      <c r="A57" s="131"/>
      <c r="B57" s="132" t="str">
        <f>Assumptions!$G$31</f>
        <v>2006</v>
      </c>
      <c r="C57" s="132"/>
      <c r="D57" s="132"/>
      <c r="E57" s="132"/>
      <c r="F57" s="132"/>
      <c r="G57" s="132"/>
      <c r="H57" s="132"/>
      <c r="I57" s="132"/>
      <c r="J57" s="133"/>
    </row>
    <row r="58" spans="1:10" ht="12.75">
      <c r="A58" s="131"/>
      <c r="B58" s="132" t="str">
        <f>Assumptions!$G$32</f>
        <v>Jan.</v>
      </c>
      <c r="C58" s="180" t="str">
        <f>Assumptions!$G$33</f>
        <v>1</v>
      </c>
      <c r="D58" s="132" t="s">
        <v>152</v>
      </c>
      <c r="E58" s="161" t="s">
        <v>209</v>
      </c>
      <c r="F58" s="132"/>
      <c r="G58" s="132"/>
      <c r="H58" s="160">
        <f>Assumptions!G58</f>
        <v>1000</v>
      </c>
      <c r="I58" s="160"/>
      <c r="J58" s="133"/>
    </row>
    <row r="59" spans="1:10" ht="12.75">
      <c r="A59" s="131"/>
      <c r="B59" s="132"/>
      <c r="C59" s="132"/>
      <c r="D59" s="132"/>
      <c r="E59" s="132"/>
      <c r="F59" s="132"/>
      <c r="G59" s="168"/>
      <c r="H59" s="160"/>
      <c r="I59" s="160"/>
      <c r="J59" s="133"/>
    </row>
    <row r="60" spans="1:10" ht="12.75">
      <c r="A60" s="131"/>
      <c r="B60" s="132"/>
      <c r="C60" s="132"/>
      <c r="D60" s="132"/>
      <c r="E60" s="132"/>
      <c r="F60" s="132"/>
      <c r="G60" s="132"/>
      <c r="H60" s="160"/>
      <c r="I60" s="160"/>
      <c r="J60" s="133"/>
    </row>
    <row r="61" spans="1:10" ht="12.75">
      <c r="A61" s="131"/>
      <c r="B61" s="132"/>
      <c r="C61" s="132"/>
      <c r="D61" s="132"/>
      <c r="E61" s="132"/>
      <c r="F61" s="132"/>
      <c r="G61" s="132"/>
      <c r="H61" s="160"/>
      <c r="I61" s="160"/>
      <c r="J61" s="133"/>
    </row>
    <row r="62" spans="1:10" ht="12.75">
      <c r="A62" s="131"/>
      <c r="B62" s="132"/>
      <c r="C62" s="132"/>
      <c r="D62" s="132"/>
      <c r="E62" s="132"/>
      <c r="F62" s="132"/>
      <c r="G62" s="132"/>
      <c r="H62" s="160"/>
      <c r="I62" s="160"/>
      <c r="J62" s="133"/>
    </row>
    <row r="63" spans="1:10" ht="12.75">
      <c r="A63" s="131"/>
      <c r="B63" s="132"/>
      <c r="C63" s="132"/>
      <c r="D63" s="132"/>
      <c r="E63" s="132"/>
      <c r="F63" s="132"/>
      <c r="G63" s="132"/>
      <c r="H63" s="160"/>
      <c r="I63" s="160"/>
      <c r="J63" s="133"/>
    </row>
    <row r="64" spans="1:10" ht="12.75">
      <c r="A64" s="131"/>
      <c r="B64" s="132"/>
      <c r="C64" s="132"/>
      <c r="D64" s="132"/>
      <c r="E64" s="132"/>
      <c r="F64" s="132"/>
      <c r="G64" s="132"/>
      <c r="H64" s="160"/>
      <c r="I64" s="160"/>
      <c r="J64" s="133"/>
    </row>
    <row r="66" spans="2:3" ht="12.75">
      <c r="B66" s="164" t="s">
        <v>210</v>
      </c>
      <c r="C66" s="164"/>
    </row>
    <row r="67" spans="1:10" ht="13.5" thickBot="1">
      <c r="A67" s="158"/>
      <c r="B67" s="159" t="s">
        <v>211</v>
      </c>
      <c r="C67" s="159"/>
      <c r="D67" s="158"/>
      <c r="E67" s="158"/>
      <c r="F67" s="158"/>
      <c r="G67" s="158"/>
      <c r="H67" s="159"/>
      <c r="I67" s="158"/>
      <c r="J67" s="158"/>
    </row>
    <row r="68" spans="1:10" ht="14.25" thickBot="1" thickTop="1">
      <c r="A68" s="258"/>
      <c r="B68" s="260" t="s">
        <v>17</v>
      </c>
      <c r="C68" s="261"/>
      <c r="D68" s="260" t="s">
        <v>207</v>
      </c>
      <c r="E68" s="260" t="s">
        <v>177</v>
      </c>
      <c r="F68" s="264" t="s">
        <v>38</v>
      </c>
      <c r="G68" s="264" t="s">
        <v>39</v>
      </c>
      <c r="H68" s="266" t="s">
        <v>208</v>
      </c>
      <c r="I68" s="267"/>
      <c r="J68" s="268"/>
    </row>
    <row r="69" spans="1:10" ht="13.5" thickTop="1">
      <c r="A69" s="259"/>
      <c r="B69" s="262"/>
      <c r="C69" s="263"/>
      <c r="D69" s="262"/>
      <c r="E69" s="262"/>
      <c r="F69" s="265"/>
      <c r="G69" s="265"/>
      <c r="H69" s="145" t="s">
        <v>38</v>
      </c>
      <c r="I69" s="145" t="s">
        <v>39</v>
      </c>
      <c r="J69" s="269"/>
    </row>
    <row r="70" spans="1:10" ht="12.75">
      <c r="A70" s="131"/>
      <c r="B70" s="132" t="str">
        <f>Assumptions!$G$31</f>
        <v>2006</v>
      </c>
      <c r="C70" s="132"/>
      <c r="D70" s="132"/>
      <c r="E70" s="132"/>
      <c r="F70" s="132"/>
      <c r="G70" s="132"/>
      <c r="H70" s="132"/>
      <c r="I70" s="132"/>
      <c r="J70" s="133"/>
    </row>
    <row r="71" spans="1:10" ht="12.75">
      <c r="A71" s="131"/>
      <c r="B71" s="132" t="str">
        <f>Assumptions!$G$32</f>
        <v>Jan.</v>
      </c>
      <c r="C71" s="132"/>
      <c r="D71" s="132"/>
      <c r="E71" s="162"/>
      <c r="F71" s="132"/>
      <c r="G71" s="132"/>
      <c r="H71" s="160"/>
      <c r="I71" s="160"/>
      <c r="J71" s="133"/>
    </row>
    <row r="72" spans="1:10" ht="12.75">
      <c r="A72" s="131"/>
      <c r="B72" s="132"/>
      <c r="C72" s="132"/>
      <c r="D72" s="132"/>
      <c r="E72" s="132"/>
      <c r="F72" s="132"/>
      <c r="G72" s="132"/>
      <c r="H72" s="160"/>
      <c r="I72" s="160"/>
      <c r="J72" s="133"/>
    </row>
    <row r="73" spans="1:10" ht="12.75">
      <c r="A73" s="131"/>
      <c r="B73" s="132"/>
      <c r="C73" s="132"/>
      <c r="D73" s="132"/>
      <c r="E73" s="132"/>
      <c r="F73" s="132"/>
      <c r="G73" s="132"/>
      <c r="H73" s="160"/>
      <c r="I73" s="160"/>
      <c r="J73" s="133"/>
    </row>
    <row r="74" spans="1:10" ht="12.75">
      <c r="A74" s="131"/>
      <c r="B74" s="132"/>
      <c r="C74" s="132"/>
      <c r="D74" s="132"/>
      <c r="E74" s="132"/>
      <c r="F74" s="132"/>
      <c r="G74" s="132"/>
      <c r="H74" s="160"/>
      <c r="I74" s="160"/>
      <c r="J74" s="133"/>
    </row>
    <row r="75" spans="1:10" ht="12.75">
      <c r="A75" s="131"/>
      <c r="B75" s="132"/>
      <c r="C75" s="132"/>
      <c r="D75" s="132"/>
      <c r="E75" s="132"/>
      <c r="F75" s="132"/>
      <c r="G75" s="132"/>
      <c r="H75" s="160"/>
      <c r="I75" s="160"/>
      <c r="J75" s="133"/>
    </row>
    <row r="76" spans="1:10" ht="12.75">
      <c r="A76" s="131"/>
      <c r="B76" s="132"/>
      <c r="C76" s="132"/>
      <c r="D76" s="132"/>
      <c r="E76" s="132"/>
      <c r="F76" s="132"/>
      <c r="G76" s="132"/>
      <c r="H76" s="160"/>
      <c r="I76" s="160"/>
      <c r="J76" s="133"/>
    </row>
    <row r="77" spans="1:10" ht="12.75">
      <c r="A77" s="131"/>
      <c r="B77" s="132"/>
      <c r="C77" s="132"/>
      <c r="D77" s="132"/>
      <c r="E77" s="132"/>
      <c r="F77" s="132"/>
      <c r="G77" s="132"/>
      <c r="H77" s="160"/>
      <c r="I77" s="160"/>
      <c r="J77" s="133"/>
    </row>
  </sheetData>
  <mergeCells count="48">
    <mergeCell ref="A16:A17"/>
    <mergeCell ref="B16:C17"/>
    <mergeCell ref="D16:D17"/>
    <mergeCell ref="E16:E17"/>
    <mergeCell ref="F16:F17"/>
    <mergeCell ref="G16:G17"/>
    <mergeCell ref="H16:I16"/>
    <mergeCell ref="J16:J17"/>
    <mergeCell ref="A29:A30"/>
    <mergeCell ref="B29:C30"/>
    <mergeCell ref="D29:D30"/>
    <mergeCell ref="E29:E30"/>
    <mergeCell ref="F29:F30"/>
    <mergeCell ref="G29:G30"/>
    <mergeCell ref="H29:I29"/>
    <mergeCell ref="J29:J30"/>
    <mergeCell ref="A42:A43"/>
    <mergeCell ref="B42:C43"/>
    <mergeCell ref="D42:D43"/>
    <mergeCell ref="E42:E43"/>
    <mergeCell ref="F42:F43"/>
    <mergeCell ref="G42:G43"/>
    <mergeCell ref="H42:I42"/>
    <mergeCell ref="J42:J43"/>
    <mergeCell ref="A55:A56"/>
    <mergeCell ref="B55:C56"/>
    <mergeCell ref="D55:D56"/>
    <mergeCell ref="E55:E56"/>
    <mergeCell ref="F55:F56"/>
    <mergeCell ref="G55:G56"/>
    <mergeCell ref="H55:I55"/>
    <mergeCell ref="J55:J56"/>
    <mergeCell ref="A68:A69"/>
    <mergeCell ref="B68:C69"/>
    <mergeCell ref="D68:D69"/>
    <mergeCell ref="E68:E69"/>
    <mergeCell ref="F68:F69"/>
    <mergeCell ref="G68:G69"/>
    <mergeCell ref="H68:I68"/>
    <mergeCell ref="J68:J69"/>
    <mergeCell ref="G3:G4"/>
    <mergeCell ref="H3:I3"/>
    <mergeCell ref="A3:A4"/>
    <mergeCell ref="J3:J4"/>
    <mergeCell ref="B3:C4"/>
    <mergeCell ref="D3:D4"/>
    <mergeCell ref="E3:E4"/>
    <mergeCell ref="F3:F4"/>
  </mergeCells>
  <dataValidations count="3">
    <dataValidation type="list" allowBlank="1" showInputMessage="1" showErrorMessage="1" sqref="H2 H15 H28 H41 H54 H67">
      <formula1>AccNo</formula1>
    </dataValidation>
    <dataValidation type="list" allowBlank="1" showInputMessage="1" showErrorMessage="1" sqref="D5:D12 D31:D38 D18:D25 D44:D51 D70:D77 D57:D64">
      <formula1>ItemNames</formula1>
    </dataValidation>
    <dataValidation type="list" allowBlank="1" showInputMessage="1" showErrorMessage="1" sqref="E5:E12 E31:E38 E18:E25 E44:E51 E70:E77 E57:E64">
      <formula1>JournalNo</formula1>
    </dataValidation>
  </dataValidation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tabColor indexed="45"/>
  </sheetPr>
  <dimension ref="A1:J51"/>
  <sheetViews>
    <sheetView showGridLines="0" workbookViewId="0" topLeftCell="A1">
      <selection activeCell="A1" sqref="A1"/>
    </sheetView>
  </sheetViews>
  <sheetFormatPr defaultColWidth="9.140625" defaultRowHeight="12.75"/>
  <cols>
    <col min="1" max="1" width="2.7109375" style="0" customWidth="1"/>
    <col min="3" max="3" width="4.28125" style="0" customWidth="1"/>
    <col min="5" max="5" width="6.8515625" style="0" customWidth="1"/>
    <col min="6" max="7" width="9.28125" style="0" bestFit="1" customWidth="1"/>
    <col min="8" max="8" width="11.28125" style="0" bestFit="1" customWidth="1"/>
    <col min="9" max="9" width="10.421875" style="0" bestFit="1" customWidth="1"/>
    <col min="10" max="10" width="2.7109375" style="0" customWidth="1"/>
  </cols>
  <sheetData>
    <row r="1" spans="2:3" ht="12.75">
      <c r="B1" s="164" t="s">
        <v>210</v>
      </c>
      <c r="C1" s="164" t="str">
        <f>Assumptions!J54</f>
        <v>Crosby Products</v>
      </c>
    </row>
    <row r="2" spans="1:10" ht="13.5" thickBot="1">
      <c r="A2" s="158"/>
      <c r="B2" s="159" t="s">
        <v>211</v>
      </c>
      <c r="C2" s="159"/>
      <c r="D2" s="158"/>
      <c r="E2" s="158"/>
      <c r="F2" s="158"/>
      <c r="G2" s="158"/>
      <c r="H2" s="159"/>
      <c r="I2" s="158"/>
      <c r="J2" s="158"/>
    </row>
    <row r="3" spans="1:10" ht="14.25" thickBot="1" thickTop="1">
      <c r="A3" s="258"/>
      <c r="B3" s="260" t="s">
        <v>17</v>
      </c>
      <c r="C3" s="261"/>
      <c r="D3" s="260" t="s">
        <v>207</v>
      </c>
      <c r="E3" s="260" t="s">
        <v>177</v>
      </c>
      <c r="F3" s="264" t="s">
        <v>38</v>
      </c>
      <c r="G3" s="264" t="s">
        <v>39</v>
      </c>
      <c r="H3" s="266" t="s">
        <v>208</v>
      </c>
      <c r="I3" s="267"/>
      <c r="J3" s="268"/>
    </row>
    <row r="4" spans="1:10" ht="13.5" thickTop="1">
      <c r="A4" s="259"/>
      <c r="B4" s="262"/>
      <c r="C4" s="263"/>
      <c r="D4" s="262"/>
      <c r="E4" s="262"/>
      <c r="F4" s="265"/>
      <c r="G4" s="265"/>
      <c r="H4" s="145" t="s">
        <v>38</v>
      </c>
      <c r="I4" s="145" t="s">
        <v>39</v>
      </c>
      <c r="J4" s="269"/>
    </row>
    <row r="5" spans="1:10" ht="12.75">
      <c r="A5" s="131"/>
      <c r="B5" s="132" t="str">
        <f>Assumptions!$G$31</f>
        <v>2006</v>
      </c>
      <c r="C5" s="132"/>
      <c r="D5" s="132"/>
      <c r="E5" s="132"/>
      <c r="F5" s="132"/>
      <c r="G5" s="132"/>
      <c r="H5" s="132"/>
      <c r="I5" s="132"/>
      <c r="J5" s="133"/>
    </row>
    <row r="6" spans="1:10" ht="12.75">
      <c r="A6" s="131"/>
      <c r="B6" s="132" t="str">
        <f>Assumptions!$G$32</f>
        <v>Jan.</v>
      </c>
      <c r="C6" s="132"/>
      <c r="D6" s="132"/>
      <c r="E6" s="162"/>
      <c r="F6" s="132"/>
      <c r="G6" s="160"/>
      <c r="H6" s="160"/>
      <c r="I6" s="160"/>
      <c r="J6" s="133"/>
    </row>
    <row r="7" spans="1:10" ht="12.75">
      <c r="A7" s="131"/>
      <c r="B7" s="132"/>
      <c r="C7" s="132"/>
      <c r="D7" s="132"/>
      <c r="E7" s="132"/>
      <c r="F7" s="168"/>
      <c r="G7" s="132"/>
      <c r="H7" s="160"/>
      <c r="I7" s="160"/>
      <c r="J7" s="133"/>
    </row>
    <row r="8" spans="1:10" ht="12.75">
      <c r="A8" s="131"/>
      <c r="B8" s="132"/>
      <c r="C8" s="132"/>
      <c r="D8" s="132"/>
      <c r="E8" s="132"/>
      <c r="F8" s="132"/>
      <c r="G8" s="132"/>
      <c r="H8" s="160"/>
      <c r="I8" s="160"/>
      <c r="J8" s="133"/>
    </row>
    <row r="9" spans="1:10" ht="12.75">
      <c r="A9" s="131"/>
      <c r="B9" s="132"/>
      <c r="C9" s="132"/>
      <c r="D9" s="132"/>
      <c r="E9" s="132"/>
      <c r="F9" s="132"/>
      <c r="G9" s="132"/>
      <c r="H9" s="160"/>
      <c r="I9" s="160"/>
      <c r="J9" s="133"/>
    </row>
    <row r="10" spans="1:10" ht="12.75">
      <c r="A10" s="131"/>
      <c r="B10" s="132"/>
      <c r="C10" s="132"/>
      <c r="D10" s="132"/>
      <c r="E10" s="132"/>
      <c r="F10" s="132"/>
      <c r="G10" s="132"/>
      <c r="H10" s="160"/>
      <c r="I10" s="160"/>
      <c r="J10" s="133"/>
    </row>
    <row r="11" spans="1:10" ht="12.75">
      <c r="A11" s="131"/>
      <c r="B11" s="132"/>
      <c r="C11" s="132"/>
      <c r="D11" s="132"/>
      <c r="E11" s="132"/>
      <c r="F11" s="132"/>
      <c r="G11" s="132"/>
      <c r="H11" s="160"/>
      <c r="I11" s="160"/>
      <c r="J11" s="133"/>
    </row>
    <row r="12" spans="1:10" ht="12.75">
      <c r="A12" s="131"/>
      <c r="B12" s="132"/>
      <c r="C12" s="132"/>
      <c r="D12" s="132"/>
      <c r="E12" s="132"/>
      <c r="F12" s="132"/>
      <c r="G12" s="132"/>
      <c r="H12" s="160"/>
      <c r="I12" s="160"/>
      <c r="J12" s="133"/>
    </row>
    <row r="14" spans="2:3" ht="12.75">
      <c r="B14" s="164" t="s">
        <v>210</v>
      </c>
      <c r="C14" s="164" t="str">
        <f>Assumptions!J55</f>
        <v>Duncan Office Supply</v>
      </c>
    </row>
    <row r="15" spans="1:10" ht="13.5" thickBot="1">
      <c r="A15" s="158"/>
      <c r="B15" s="159" t="s">
        <v>211</v>
      </c>
      <c r="C15" s="159"/>
      <c r="D15" s="158"/>
      <c r="E15" s="158"/>
      <c r="F15" s="158"/>
      <c r="G15" s="158"/>
      <c r="H15" s="159"/>
      <c r="I15" s="158"/>
      <c r="J15" s="158"/>
    </row>
    <row r="16" spans="1:10" ht="14.25" thickBot="1" thickTop="1">
      <c r="A16" s="258"/>
      <c r="B16" s="260" t="s">
        <v>17</v>
      </c>
      <c r="C16" s="261"/>
      <c r="D16" s="260" t="s">
        <v>207</v>
      </c>
      <c r="E16" s="260" t="s">
        <v>177</v>
      </c>
      <c r="F16" s="264" t="s">
        <v>38</v>
      </c>
      <c r="G16" s="264" t="s">
        <v>39</v>
      </c>
      <c r="H16" s="266" t="s">
        <v>208</v>
      </c>
      <c r="I16" s="267"/>
      <c r="J16" s="268"/>
    </row>
    <row r="17" spans="1:10" ht="13.5" thickTop="1">
      <c r="A17" s="259"/>
      <c r="B17" s="262"/>
      <c r="C17" s="263"/>
      <c r="D17" s="262"/>
      <c r="E17" s="262"/>
      <c r="F17" s="265"/>
      <c r="G17" s="265"/>
      <c r="H17" s="145" t="s">
        <v>38</v>
      </c>
      <c r="I17" s="145" t="s">
        <v>39</v>
      </c>
      <c r="J17" s="269"/>
    </row>
    <row r="18" spans="1:10" ht="12.75">
      <c r="A18" s="131"/>
      <c r="B18" s="132" t="str">
        <f>Assumptions!$G$31</f>
        <v>2006</v>
      </c>
      <c r="C18" s="132"/>
      <c r="D18" s="132"/>
      <c r="E18" s="132"/>
      <c r="F18" s="132"/>
      <c r="G18" s="132"/>
      <c r="H18" s="132"/>
      <c r="I18" s="132"/>
      <c r="J18" s="133"/>
    </row>
    <row r="19" spans="1:10" ht="12.75">
      <c r="A19" s="131"/>
      <c r="B19" s="132" t="str">
        <f>Assumptions!$G$32</f>
        <v>Jan.</v>
      </c>
      <c r="C19" s="132"/>
      <c r="D19" s="132"/>
      <c r="E19" s="162"/>
      <c r="F19" s="132"/>
      <c r="G19" s="160"/>
      <c r="H19" s="160"/>
      <c r="I19" s="160"/>
      <c r="J19" s="133"/>
    </row>
    <row r="20" spans="1:10" ht="12.75">
      <c r="A20" s="131"/>
      <c r="B20" s="132"/>
      <c r="C20" s="132"/>
      <c r="D20" s="132"/>
      <c r="E20" s="132"/>
      <c r="F20" s="168"/>
      <c r="G20" s="132"/>
      <c r="H20" s="160"/>
      <c r="I20" s="160"/>
      <c r="J20" s="133"/>
    </row>
    <row r="21" spans="1:10" ht="12.75">
      <c r="A21" s="131"/>
      <c r="B21" s="132"/>
      <c r="C21" s="132"/>
      <c r="D21" s="132"/>
      <c r="E21" s="132"/>
      <c r="F21" s="132"/>
      <c r="G21" s="132"/>
      <c r="H21" s="160"/>
      <c r="I21" s="160"/>
      <c r="J21" s="133"/>
    </row>
    <row r="22" spans="1:10" ht="12.75">
      <c r="A22" s="131"/>
      <c r="B22" s="132"/>
      <c r="C22" s="132"/>
      <c r="D22" s="132"/>
      <c r="E22" s="132"/>
      <c r="F22" s="132"/>
      <c r="G22" s="132"/>
      <c r="H22" s="160"/>
      <c r="I22" s="160"/>
      <c r="J22" s="133"/>
    </row>
    <row r="23" spans="1:10" ht="12.75">
      <c r="A23" s="131"/>
      <c r="B23" s="132"/>
      <c r="C23" s="132"/>
      <c r="D23" s="132"/>
      <c r="E23" s="132"/>
      <c r="F23" s="132"/>
      <c r="G23" s="132"/>
      <c r="H23" s="160"/>
      <c r="I23" s="160"/>
      <c r="J23" s="133"/>
    </row>
    <row r="24" spans="1:10" ht="12.75">
      <c r="A24" s="131"/>
      <c r="B24" s="132"/>
      <c r="C24" s="132"/>
      <c r="D24" s="132"/>
      <c r="E24" s="132"/>
      <c r="F24" s="132"/>
      <c r="G24" s="132"/>
      <c r="H24" s="160"/>
      <c r="I24" s="160"/>
      <c r="J24" s="133"/>
    </row>
    <row r="25" spans="1:10" ht="12.75">
      <c r="A25" s="131"/>
      <c r="B25" s="132"/>
      <c r="C25" s="132"/>
      <c r="D25" s="132"/>
      <c r="E25" s="132"/>
      <c r="F25" s="132"/>
      <c r="G25" s="132"/>
      <c r="H25" s="160"/>
      <c r="I25" s="160"/>
      <c r="J25" s="133"/>
    </row>
    <row r="27" spans="2:3" ht="12.75">
      <c r="B27" s="164" t="s">
        <v>210</v>
      </c>
      <c r="C27" s="164" t="str">
        <f>Assumptions!J56</f>
        <v>Franklin and Son</v>
      </c>
    </row>
    <row r="28" spans="1:10" ht="13.5" thickBot="1">
      <c r="A28" s="158"/>
      <c r="B28" s="159" t="s">
        <v>211</v>
      </c>
      <c r="C28" s="159"/>
      <c r="D28" s="158"/>
      <c r="E28" s="158"/>
      <c r="F28" s="158"/>
      <c r="G28" s="158"/>
      <c r="H28" s="159"/>
      <c r="I28" s="158"/>
      <c r="J28" s="158"/>
    </row>
    <row r="29" spans="1:10" ht="14.25" thickBot="1" thickTop="1">
      <c r="A29" s="258"/>
      <c r="B29" s="260" t="s">
        <v>17</v>
      </c>
      <c r="C29" s="261"/>
      <c r="D29" s="260" t="s">
        <v>207</v>
      </c>
      <c r="E29" s="260" t="s">
        <v>177</v>
      </c>
      <c r="F29" s="264" t="s">
        <v>38</v>
      </c>
      <c r="G29" s="264" t="s">
        <v>39</v>
      </c>
      <c r="H29" s="266" t="s">
        <v>208</v>
      </c>
      <c r="I29" s="267"/>
      <c r="J29" s="268"/>
    </row>
    <row r="30" spans="1:10" ht="13.5" thickTop="1">
      <c r="A30" s="259"/>
      <c r="B30" s="262"/>
      <c r="C30" s="263"/>
      <c r="D30" s="262"/>
      <c r="E30" s="262"/>
      <c r="F30" s="265"/>
      <c r="G30" s="265"/>
      <c r="H30" s="145" t="s">
        <v>38</v>
      </c>
      <c r="I30" s="145" t="s">
        <v>39</v>
      </c>
      <c r="J30" s="269"/>
    </row>
    <row r="31" spans="1:10" ht="12.75">
      <c r="A31" s="131"/>
      <c r="B31" s="132" t="str">
        <f>Assumptions!$G$31</f>
        <v>2006</v>
      </c>
      <c r="C31" s="132"/>
      <c r="D31" s="132"/>
      <c r="E31" s="132"/>
      <c r="F31" s="132"/>
      <c r="G31" s="132"/>
      <c r="H31" s="132"/>
      <c r="I31" s="132"/>
      <c r="J31" s="133"/>
    </row>
    <row r="32" spans="1:10" ht="12.75">
      <c r="A32" s="131"/>
      <c r="B32" s="132" t="str">
        <f>Assumptions!$G$32</f>
        <v>Jan.</v>
      </c>
      <c r="C32" s="180" t="str">
        <f>Assumptions!$G$33</f>
        <v>1</v>
      </c>
      <c r="D32" s="132" t="s">
        <v>152</v>
      </c>
      <c r="E32" s="161" t="s">
        <v>209</v>
      </c>
      <c r="F32" s="132"/>
      <c r="G32" s="132"/>
      <c r="H32" s="160"/>
      <c r="I32" s="160">
        <f>Assumptions!K56</f>
        <v>600</v>
      </c>
      <c r="J32" s="133"/>
    </row>
    <row r="33" spans="1:10" ht="12.75">
      <c r="A33" s="131"/>
      <c r="B33" s="132"/>
      <c r="C33" s="132"/>
      <c r="D33" s="132"/>
      <c r="E33" s="132"/>
      <c r="F33" s="160"/>
      <c r="G33" s="132"/>
      <c r="H33" s="160"/>
      <c r="I33" s="160"/>
      <c r="J33" s="133"/>
    </row>
    <row r="34" spans="1:10" ht="12.75">
      <c r="A34" s="131"/>
      <c r="B34" s="132"/>
      <c r="C34" s="132"/>
      <c r="D34" s="132"/>
      <c r="E34" s="132"/>
      <c r="F34" s="132"/>
      <c r="G34" s="132"/>
      <c r="H34" s="160"/>
      <c r="I34" s="160"/>
      <c r="J34" s="133"/>
    </row>
    <row r="35" spans="1:10" ht="12.75">
      <c r="A35" s="131"/>
      <c r="B35" s="132"/>
      <c r="C35" s="132"/>
      <c r="D35" s="132"/>
      <c r="E35" s="132"/>
      <c r="F35" s="132"/>
      <c r="G35" s="132"/>
      <c r="H35" s="160"/>
      <c r="I35" s="160"/>
      <c r="J35" s="133"/>
    </row>
    <row r="36" spans="1:10" ht="12.75">
      <c r="A36" s="131"/>
      <c r="B36" s="132"/>
      <c r="C36" s="132"/>
      <c r="D36" s="132"/>
      <c r="E36" s="132"/>
      <c r="F36" s="132"/>
      <c r="G36" s="132"/>
      <c r="H36" s="160"/>
      <c r="I36" s="160"/>
      <c r="J36" s="133"/>
    </row>
    <row r="37" spans="1:10" ht="12.75">
      <c r="A37" s="131"/>
      <c r="B37" s="132"/>
      <c r="C37" s="132"/>
      <c r="D37" s="132"/>
      <c r="E37" s="132"/>
      <c r="F37" s="132"/>
      <c r="G37" s="132"/>
      <c r="H37" s="160"/>
      <c r="I37" s="160"/>
      <c r="J37" s="133"/>
    </row>
    <row r="38" spans="1:10" ht="12.75">
      <c r="A38" s="131"/>
      <c r="B38" s="132"/>
      <c r="C38" s="132"/>
      <c r="D38" s="132"/>
      <c r="E38" s="132"/>
      <c r="F38" s="132"/>
      <c r="G38" s="132"/>
      <c r="H38" s="160"/>
      <c r="I38" s="160"/>
      <c r="J38" s="133"/>
    </row>
    <row r="40" spans="2:3" ht="12.75">
      <c r="B40" s="164" t="s">
        <v>210</v>
      </c>
      <c r="C40" s="164" t="str">
        <f>Assumptions!J57</f>
        <v>Vaughn and Company</v>
      </c>
    </row>
    <row r="41" spans="1:10" ht="13.5" thickBot="1">
      <c r="A41" s="158"/>
      <c r="B41" s="159" t="s">
        <v>211</v>
      </c>
      <c r="C41" s="159"/>
      <c r="D41" s="158"/>
      <c r="E41" s="158"/>
      <c r="F41" s="158"/>
      <c r="G41" s="158"/>
      <c r="H41" s="159"/>
      <c r="I41" s="158"/>
      <c r="J41" s="158"/>
    </row>
    <row r="42" spans="1:10" ht="14.25" thickBot="1" thickTop="1">
      <c r="A42" s="258"/>
      <c r="B42" s="260" t="s">
        <v>17</v>
      </c>
      <c r="C42" s="261"/>
      <c r="D42" s="260" t="s">
        <v>207</v>
      </c>
      <c r="E42" s="260" t="s">
        <v>177</v>
      </c>
      <c r="F42" s="264" t="s">
        <v>38</v>
      </c>
      <c r="G42" s="264" t="s">
        <v>39</v>
      </c>
      <c r="H42" s="266" t="s">
        <v>208</v>
      </c>
      <c r="I42" s="267"/>
      <c r="J42" s="268"/>
    </row>
    <row r="43" spans="1:10" ht="13.5" thickTop="1">
      <c r="A43" s="259"/>
      <c r="B43" s="262"/>
      <c r="C43" s="263"/>
      <c r="D43" s="262"/>
      <c r="E43" s="262"/>
      <c r="F43" s="265"/>
      <c r="G43" s="265"/>
      <c r="H43" s="145" t="s">
        <v>38</v>
      </c>
      <c r="I43" s="145" t="s">
        <v>39</v>
      </c>
      <c r="J43" s="269"/>
    </row>
    <row r="44" spans="1:10" ht="12.75">
      <c r="A44" s="131"/>
      <c r="B44" s="132" t="str">
        <f>Assumptions!$G$31</f>
        <v>2006</v>
      </c>
      <c r="C44" s="132"/>
      <c r="D44" s="132"/>
      <c r="E44" s="132"/>
      <c r="F44" s="132"/>
      <c r="G44" s="132"/>
      <c r="H44" s="132"/>
      <c r="I44" s="132"/>
      <c r="J44" s="133"/>
    </row>
    <row r="45" spans="1:10" ht="12.75">
      <c r="A45" s="131"/>
      <c r="B45" s="132" t="str">
        <f>Assumptions!$G$32</f>
        <v>Jan.</v>
      </c>
      <c r="C45" s="132"/>
      <c r="D45" s="132"/>
      <c r="E45" s="162"/>
      <c r="F45" s="132"/>
      <c r="G45" s="160"/>
      <c r="H45" s="160"/>
      <c r="I45" s="160"/>
      <c r="J45" s="133"/>
    </row>
    <row r="46" spans="1:10" ht="12.75">
      <c r="A46" s="131"/>
      <c r="B46" s="132"/>
      <c r="C46" s="132"/>
      <c r="D46" s="132"/>
      <c r="E46" s="132"/>
      <c r="F46" s="160"/>
      <c r="G46" s="132"/>
      <c r="H46" s="160"/>
      <c r="I46" s="160"/>
      <c r="J46" s="133"/>
    </row>
    <row r="47" spans="1:10" ht="12.75">
      <c r="A47" s="131"/>
      <c r="B47" s="132"/>
      <c r="C47" s="132"/>
      <c r="D47" s="132"/>
      <c r="E47" s="132"/>
      <c r="F47" s="132"/>
      <c r="G47" s="132"/>
      <c r="H47" s="160"/>
      <c r="I47" s="160"/>
      <c r="J47" s="133"/>
    </row>
    <row r="48" spans="1:10" ht="12.75">
      <c r="A48" s="131"/>
      <c r="B48" s="132"/>
      <c r="C48" s="132"/>
      <c r="D48" s="132"/>
      <c r="E48" s="132"/>
      <c r="F48" s="132"/>
      <c r="G48" s="132"/>
      <c r="H48" s="160"/>
      <c r="I48" s="160"/>
      <c r="J48" s="133"/>
    </row>
    <row r="49" spans="1:10" ht="12.75">
      <c r="A49" s="131"/>
      <c r="B49" s="132"/>
      <c r="C49" s="132"/>
      <c r="D49" s="132"/>
      <c r="E49" s="132"/>
      <c r="F49" s="132"/>
      <c r="G49" s="132"/>
      <c r="H49" s="160"/>
      <c r="I49" s="160"/>
      <c r="J49" s="133"/>
    </row>
    <row r="50" spans="1:10" ht="12.75">
      <c r="A50" s="131"/>
      <c r="B50" s="132"/>
      <c r="C50" s="132"/>
      <c r="D50" s="132"/>
      <c r="E50" s="132"/>
      <c r="F50" s="132"/>
      <c r="G50" s="132"/>
      <c r="H50" s="160"/>
      <c r="I50" s="160"/>
      <c r="J50" s="133"/>
    </row>
    <row r="51" spans="1:10" ht="12.75">
      <c r="A51" s="131"/>
      <c r="B51" s="132"/>
      <c r="C51" s="132"/>
      <c r="D51" s="132"/>
      <c r="E51" s="132"/>
      <c r="F51" s="132"/>
      <c r="G51" s="132"/>
      <c r="H51" s="160"/>
      <c r="I51" s="160"/>
      <c r="J51" s="133"/>
    </row>
  </sheetData>
  <mergeCells count="32">
    <mergeCell ref="G3:G4"/>
    <mergeCell ref="H3:I3"/>
    <mergeCell ref="A3:A4"/>
    <mergeCell ref="J3:J4"/>
    <mergeCell ref="B3:C4"/>
    <mergeCell ref="D3:D4"/>
    <mergeCell ref="E3:E4"/>
    <mergeCell ref="F3:F4"/>
    <mergeCell ref="F42:F43"/>
    <mergeCell ref="G42:G43"/>
    <mergeCell ref="H42:I42"/>
    <mergeCell ref="J42:J43"/>
    <mergeCell ref="A42:A43"/>
    <mergeCell ref="B42:C43"/>
    <mergeCell ref="D42:D43"/>
    <mergeCell ref="E42:E43"/>
    <mergeCell ref="F29:F30"/>
    <mergeCell ref="G29:G30"/>
    <mergeCell ref="H29:I29"/>
    <mergeCell ref="J29:J30"/>
    <mergeCell ref="A29:A30"/>
    <mergeCell ref="B29:C30"/>
    <mergeCell ref="D29:D30"/>
    <mergeCell ref="E29:E30"/>
    <mergeCell ref="F16:F17"/>
    <mergeCell ref="G16:G17"/>
    <mergeCell ref="H16:I16"/>
    <mergeCell ref="J16:J17"/>
    <mergeCell ref="A16:A17"/>
    <mergeCell ref="B16:C17"/>
    <mergeCell ref="D16:D17"/>
    <mergeCell ref="E16:E17"/>
  </mergeCells>
  <dataValidations count="3">
    <dataValidation type="list" allowBlank="1" showInputMessage="1" showErrorMessage="1" sqref="H2 H15 H28 H41">
      <formula1>AccNo</formula1>
    </dataValidation>
    <dataValidation type="list" allowBlank="1" showInputMessage="1" showErrorMessage="1" sqref="D5:D12 D31:D38 D44:D51 D18:D25">
      <formula1>ItemNames</formula1>
    </dataValidation>
    <dataValidation type="list" allowBlank="1" showInputMessage="1" showErrorMessage="1" sqref="E5:E12 E31:E38 E44:E51 E18:E25">
      <formula1>JournalNo</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tabColor indexed="10"/>
  </sheetPr>
  <dimension ref="A1:N26"/>
  <sheetViews>
    <sheetView showGridLines="0" zoomScale="76" zoomScaleNormal="76" workbookViewId="0" topLeftCell="A1">
      <selection activeCell="A1" sqref="A1:B1"/>
    </sheetView>
  </sheetViews>
  <sheetFormatPr defaultColWidth="9.140625" defaultRowHeight="12.75"/>
  <cols>
    <col min="1" max="2" width="9.57421875" style="13" customWidth="1"/>
    <col min="3" max="3" width="3.140625" style="13" customWidth="1"/>
    <col min="4" max="5" width="9.57421875" style="13" customWidth="1"/>
    <col min="6" max="6" width="3.140625" style="13" customWidth="1"/>
    <col min="7" max="8" width="9.57421875" style="13" customWidth="1"/>
    <col min="9" max="9" width="3.140625" style="13" customWidth="1"/>
    <col min="10" max="11" width="9.57421875" style="13" customWidth="1"/>
    <col min="12" max="12" width="5.00390625" style="13" bestFit="1" customWidth="1"/>
    <col min="13" max="14" width="9.57421875" style="13" customWidth="1"/>
    <col min="15" max="16384" width="9.140625" style="13" customWidth="1"/>
  </cols>
  <sheetData>
    <row r="1" spans="1:14" ht="16.5" thickBot="1">
      <c r="A1" s="218" t="s">
        <v>28</v>
      </c>
      <c r="B1" s="218"/>
      <c r="C1" s="13" t="s">
        <v>29</v>
      </c>
      <c r="D1" s="218" t="s">
        <v>30</v>
      </c>
      <c r="E1" s="218"/>
      <c r="F1" s="13" t="s">
        <v>31</v>
      </c>
      <c r="G1" s="218" t="s">
        <v>32</v>
      </c>
      <c r="H1" s="218"/>
      <c r="I1" s="13" t="s">
        <v>31</v>
      </c>
      <c r="J1" s="218" t="s">
        <v>33</v>
      </c>
      <c r="K1" s="218"/>
      <c r="L1" s="21" t="s">
        <v>34</v>
      </c>
      <c r="M1" s="218" t="s">
        <v>35</v>
      </c>
      <c r="N1" s="218"/>
    </row>
    <row r="2" spans="1:14" ht="13.5" thickTop="1">
      <c r="A2" s="22" t="s">
        <v>31</v>
      </c>
      <c r="B2" s="23" t="s">
        <v>34</v>
      </c>
      <c r="D2" s="22" t="s">
        <v>34</v>
      </c>
      <c r="E2" s="23" t="s">
        <v>31</v>
      </c>
      <c r="G2" s="22" t="s">
        <v>34</v>
      </c>
      <c r="H2" s="23" t="s">
        <v>31</v>
      </c>
      <c r="J2" s="22" t="s">
        <v>34</v>
      </c>
      <c r="K2" s="23" t="s">
        <v>31</v>
      </c>
      <c r="M2" s="22" t="s">
        <v>36</v>
      </c>
      <c r="N2" s="23" t="s">
        <v>37</v>
      </c>
    </row>
    <row r="3" spans="1:14" ht="12.75">
      <c r="A3" s="24" t="s">
        <v>38</v>
      </c>
      <c r="B3" s="25" t="s">
        <v>39</v>
      </c>
      <c r="D3" s="24" t="s">
        <v>38</v>
      </c>
      <c r="E3" s="25" t="s">
        <v>39</v>
      </c>
      <c r="G3" s="24" t="s">
        <v>38</v>
      </c>
      <c r="H3" s="25" t="s">
        <v>39</v>
      </c>
      <c r="J3" s="24" t="s">
        <v>38</v>
      </c>
      <c r="K3" s="25" t="s">
        <v>39</v>
      </c>
      <c r="M3" s="24" t="s">
        <v>38</v>
      </c>
      <c r="N3" s="25" t="s">
        <v>39</v>
      </c>
    </row>
    <row r="4" spans="1:13" ht="12.75">
      <c r="A4" s="26"/>
      <c r="D4" s="26"/>
      <c r="G4" s="26"/>
      <c r="J4" s="26"/>
      <c r="M4" s="26"/>
    </row>
    <row r="5" ht="12.75" customHeight="1"/>
    <row r="6" spans="1:14" ht="25.5" customHeight="1" thickBot="1">
      <c r="A6" s="219" t="s">
        <v>40</v>
      </c>
      <c r="B6" s="218"/>
      <c r="D6" s="219" t="s">
        <v>41</v>
      </c>
      <c r="E6" s="218"/>
      <c r="J6" s="218" t="s">
        <v>42</v>
      </c>
      <c r="K6" s="218"/>
      <c r="L6" s="21" t="s">
        <v>34</v>
      </c>
      <c r="M6" s="218" t="s">
        <v>43</v>
      </c>
      <c r="N6" s="218"/>
    </row>
    <row r="7" spans="1:14" ht="13.5" thickTop="1">
      <c r="A7" s="22" t="s">
        <v>31</v>
      </c>
      <c r="B7" s="23" t="s">
        <v>34</v>
      </c>
      <c r="D7" s="22" t="s">
        <v>34</v>
      </c>
      <c r="E7" s="23" t="s">
        <v>31</v>
      </c>
      <c r="J7" s="22" t="s">
        <v>34</v>
      </c>
      <c r="K7" s="23" t="s">
        <v>31</v>
      </c>
      <c r="M7" s="22" t="s">
        <v>36</v>
      </c>
      <c r="N7" s="23" t="s">
        <v>37</v>
      </c>
    </row>
    <row r="8" spans="1:14" ht="12.75">
      <c r="A8" s="24" t="s">
        <v>38</v>
      </c>
      <c r="B8" s="25" t="s">
        <v>39</v>
      </c>
      <c r="D8" s="24" t="s">
        <v>38</v>
      </c>
      <c r="E8" s="25" t="s">
        <v>39</v>
      </c>
      <c r="J8" s="24" t="s">
        <v>38</v>
      </c>
      <c r="K8" s="25" t="s">
        <v>39</v>
      </c>
      <c r="M8" s="24" t="s">
        <v>38</v>
      </c>
      <c r="N8" s="25" t="s">
        <v>39</v>
      </c>
    </row>
    <row r="9" spans="1:13" ht="12.75">
      <c r="A9" s="26"/>
      <c r="D9" s="26"/>
      <c r="J9" s="26"/>
      <c r="M9" s="26"/>
    </row>
    <row r="12" spans="9:14" ht="25.5" customHeight="1" thickBot="1">
      <c r="I12" s="21" t="s">
        <v>34</v>
      </c>
      <c r="J12" s="219" t="s">
        <v>44</v>
      </c>
      <c r="K12" s="218"/>
      <c r="L12" s="21" t="s">
        <v>45</v>
      </c>
      <c r="M12" s="219" t="s">
        <v>46</v>
      </c>
      <c r="N12" s="218"/>
    </row>
    <row r="13" spans="10:14" ht="13.5" thickTop="1">
      <c r="J13" s="22" t="s">
        <v>36</v>
      </c>
      <c r="K13" s="23" t="s">
        <v>37</v>
      </c>
      <c r="M13" s="22" t="s">
        <v>34</v>
      </c>
      <c r="N13" s="23" t="s">
        <v>31</v>
      </c>
    </row>
    <row r="14" spans="10:14" ht="12.75">
      <c r="J14" s="24" t="s">
        <v>38</v>
      </c>
      <c r="K14" s="25" t="s">
        <v>39</v>
      </c>
      <c r="M14" s="24" t="s">
        <v>38</v>
      </c>
      <c r="N14" s="25" t="s">
        <v>39</v>
      </c>
    </row>
    <row r="15" spans="10:13" ht="12.75">
      <c r="J15" s="26"/>
      <c r="M15" s="26"/>
    </row>
    <row r="18" spans="9:14" ht="25.5" customHeight="1" thickBot="1">
      <c r="I18" s="21" t="s">
        <v>34</v>
      </c>
      <c r="J18" s="219" t="s">
        <v>47</v>
      </c>
      <c r="K18" s="218"/>
      <c r="L18" s="21" t="s">
        <v>45</v>
      </c>
      <c r="M18" s="220" t="s">
        <v>48</v>
      </c>
      <c r="N18" s="220"/>
    </row>
    <row r="19" spans="10:14" ht="13.5" thickTop="1">
      <c r="J19" s="22" t="s">
        <v>36</v>
      </c>
      <c r="K19" s="23" t="s">
        <v>37</v>
      </c>
      <c r="M19" s="22" t="s">
        <v>34</v>
      </c>
      <c r="N19" s="23" t="s">
        <v>31</v>
      </c>
    </row>
    <row r="20" spans="10:14" ht="12.75">
      <c r="J20" s="24" t="s">
        <v>38</v>
      </c>
      <c r="K20" s="25" t="s">
        <v>39</v>
      </c>
      <c r="M20" s="24" t="s">
        <v>38</v>
      </c>
      <c r="N20" s="25" t="s">
        <v>39</v>
      </c>
    </row>
    <row r="21" spans="10:13" ht="12.75">
      <c r="J21" s="26"/>
      <c r="M21" s="26"/>
    </row>
    <row r="23" spans="12:14" ht="16.5" thickBot="1">
      <c r="L23" s="21" t="s">
        <v>34</v>
      </c>
      <c r="M23" s="218" t="s">
        <v>49</v>
      </c>
      <c r="N23" s="218"/>
    </row>
    <row r="24" spans="13:14" ht="13.5" thickTop="1">
      <c r="M24" s="22" t="s">
        <v>36</v>
      </c>
      <c r="N24" s="23" t="s">
        <v>37</v>
      </c>
    </row>
    <row r="25" spans="13:14" ht="12.75">
      <c r="M25" s="24" t="s">
        <v>38</v>
      </c>
      <c r="N25" s="25" t="s">
        <v>39</v>
      </c>
    </row>
    <row r="26" ht="12.75">
      <c r="M26" s="26"/>
    </row>
  </sheetData>
  <mergeCells count="14">
    <mergeCell ref="M23:N23"/>
    <mergeCell ref="J12:K12"/>
    <mergeCell ref="M12:N12"/>
    <mergeCell ref="J18:K18"/>
    <mergeCell ref="M18:N18"/>
    <mergeCell ref="M1:N1"/>
    <mergeCell ref="A6:B6"/>
    <mergeCell ref="D6:E6"/>
    <mergeCell ref="J6:K6"/>
    <mergeCell ref="M6:N6"/>
    <mergeCell ref="A1:B1"/>
    <mergeCell ref="D1:E1"/>
    <mergeCell ref="G1:H1"/>
    <mergeCell ref="J1:K1"/>
  </mergeCells>
  <printOptions/>
  <pageMargins left="0.75" right="0.75" top="1" bottom="1" header="0.5" footer="0.5"/>
  <pageSetup horizontalDpi="300" verticalDpi="300" orientation="portrait" r:id="rId1"/>
</worksheet>
</file>

<file path=xl/worksheets/sheet20.xml><?xml version="1.0" encoding="utf-8"?>
<worksheet xmlns="http://schemas.openxmlformats.org/spreadsheetml/2006/main" xmlns:r="http://schemas.openxmlformats.org/officeDocument/2006/relationships">
  <sheetPr>
    <tabColor indexed="10"/>
  </sheetPr>
  <dimension ref="A1:G33"/>
  <sheetViews>
    <sheetView showGridLines="0" zoomScale="85" zoomScaleNormal="85" workbookViewId="0" topLeftCell="A1">
      <selection activeCell="A1" sqref="A1"/>
    </sheetView>
  </sheetViews>
  <sheetFormatPr defaultColWidth="9.140625" defaultRowHeight="12.75"/>
  <cols>
    <col min="1" max="1" width="2.8515625" style="0" customWidth="1"/>
    <col min="2" max="2" width="43.00390625" style="0" customWidth="1"/>
    <col min="3" max="4" width="10.57421875" style="0" bestFit="1" customWidth="1"/>
    <col min="5" max="5" width="2.8515625" style="0" customWidth="1"/>
  </cols>
  <sheetData>
    <row r="1" spans="1:5" ht="13.5" thickBot="1">
      <c r="A1" s="204" t="str">
        <f>'Assumptions (an)'!$G$38</f>
        <v>Jay Hammonds Auto Supply</v>
      </c>
      <c r="B1" s="204"/>
      <c r="C1" s="204"/>
      <c r="D1" s="204"/>
      <c r="E1" s="204"/>
    </row>
    <row r="2" spans="1:5" ht="13.5" thickBot="1">
      <c r="A2" s="204" t="s">
        <v>239</v>
      </c>
      <c r="B2" s="204"/>
      <c r="C2" s="204"/>
      <c r="D2" s="204"/>
      <c r="E2" s="204"/>
    </row>
    <row r="3" spans="1:5" ht="13.5" thickBot="1">
      <c r="A3" s="204" t="str">
        <f>TEXT('Assumptions (an)'!$G$30,"mmmm d, yyyy")</f>
        <v>January 31, 2006</v>
      </c>
      <c r="B3" s="204"/>
      <c r="C3" s="204"/>
      <c r="D3" s="204"/>
      <c r="E3" s="204"/>
    </row>
    <row r="4" ht="13.5" thickBot="1"/>
    <row r="5" spans="1:5" ht="14.25" thickBot="1" thickTop="1">
      <c r="A5" s="139"/>
      <c r="B5" s="141" t="s">
        <v>212</v>
      </c>
      <c r="C5" s="165" t="s">
        <v>38</v>
      </c>
      <c r="D5" s="165" t="s">
        <v>39</v>
      </c>
      <c r="E5" s="143"/>
    </row>
    <row r="6" spans="1:5" ht="13.5" thickTop="1">
      <c r="A6" s="144"/>
      <c r="B6" s="145"/>
      <c r="C6" s="166"/>
      <c r="D6" s="166"/>
      <c r="E6" s="146"/>
    </row>
    <row r="7" spans="1:5" ht="12.75">
      <c r="A7" s="131"/>
      <c r="B7" s="145"/>
      <c r="C7" s="160"/>
      <c r="D7" s="160"/>
      <c r="E7" s="133"/>
    </row>
    <row r="8" spans="1:5" ht="12.75">
      <c r="A8" s="131"/>
      <c r="B8" s="145"/>
      <c r="C8" s="160"/>
      <c r="D8" s="160"/>
      <c r="E8" s="133"/>
    </row>
    <row r="9" spans="1:5" ht="12.75">
      <c r="A9" s="131"/>
      <c r="B9" s="145"/>
      <c r="C9" s="160"/>
      <c r="D9" s="160"/>
      <c r="E9" s="133"/>
    </row>
    <row r="10" spans="1:5" ht="12.75">
      <c r="A10" s="131"/>
      <c r="B10" s="145"/>
      <c r="C10" s="160"/>
      <c r="D10" s="160"/>
      <c r="E10" s="133"/>
    </row>
    <row r="11" spans="1:5" ht="12.75">
      <c r="A11" s="131"/>
      <c r="B11" s="145"/>
      <c r="C11" s="160"/>
      <c r="D11" s="160"/>
      <c r="E11" s="133"/>
    </row>
    <row r="12" spans="1:5" ht="12.75">
      <c r="A12" s="131"/>
      <c r="B12" s="145"/>
      <c r="C12" s="160"/>
      <c r="D12" s="160"/>
      <c r="E12" s="133"/>
    </row>
    <row r="13" spans="1:5" ht="12.75">
      <c r="A13" s="131"/>
      <c r="B13" s="145"/>
      <c r="C13" s="160"/>
      <c r="D13" s="160"/>
      <c r="E13" s="133"/>
    </row>
    <row r="14" spans="1:5" ht="12.75">
      <c r="A14" s="131"/>
      <c r="B14" s="145"/>
      <c r="C14" s="160"/>
      <c r="D14" s="160"/>
      <c r="E14" s="133"/>
    </row>
    <row r="15" spans="1:5" ht="12.75">
      <c r="A15" s="131"/>
      <c r="B15" s="145"/>
      <c r="C15" s="160"/>
      <c r="D15" s="160"/>
      <c r="E15" s="133"/>
    </row>
    <row r="16" spans="1:5" ht="12.75">
      <c r="A16" s="131"/>
      <c r="B16" s="145"/>
      <c r="C16" s="160"/>
      <c r="D16" s="160"/>
      <c r="E16" s="133"/>
    </row>
    <row r="17" spans="1:5" ht="12.75">
      <c r="A17" s="131"/>
      <c r="B17" s="145"/>
      <c r="C17" s="160"/>
      <c r="D17" s="160"/>
      <c r="E17" s="133"/>
    </row>
    <row r="18" spans="1:5" ht="12.75">
      <c r="A18" s="131"/>
      <c r="B18" s="145"/>
      <c r="C18" s="160"/>
      <c r="D18" s="160"/>
      <c r="E18" s="133"/>
    </row>
    <row r="19" spans="1:5" ht="12.75">
      <c r="A19" s="131"/>
      <c r="B19" s="145"/>
      <c r="C19" s="160"/>
      <c r="D19" s="160"/>
      <c r="E19" s="133"/>
    </row>
    <row r="20" spans="1:5" ht="12.75">
      <c r="A20" s="131"/>
      <c r="B20" s="145"/>
      <c r="C20" s="160"/>
      <c r="D20" s="160"/>
      <c r="E20" s="133"/>
    </row>
    <row r="21" spans="1:5" ht="12.75">
      <c r="A21" s="131"/>
      <c r="B21" s="145"/>
      <c r="C21" s="160"/>
      <c r="D21" s="160"/>
      <c r="E21" s="133"/>
    </row>
    <row r="22" spans="1:5" ht="12.75">
      <c r="A22" s="131"/>
      <c r="B22" s="145"/>
      <c r="C22" s="160"/>
      <c r="D22" s="160"/>
      <c r="E22" s="133"/>
    </row>
    <row r="23" spans="1:5" ht="12.75">
      <c r="A23" s="131"/>
      <c r="B23" s="145"/>
      <c r="C23" s="160"/>
      <c r="D23" s="160"/>
      <c r="E23" s="133"/>
    </row>
    <row r="24" spans="1:5" ht="12.75">
      <c r="A24" s="131"/>
      <c r="B24" s="145"/>
      <c r="C24" s="160"/>
      <c r="D24" s="160"/>
      <c r="E24" s="133"/>
    </row>
    <row r="25" spans="1:5" ht="12.75">
      <c r="A25" s="131"/>
      <c r="B25" s="145"/>
      <c r="C25" s="160"/>
      <c r="D25" s="160"/>
      <c r="E25" s="133"/>
    </row>
    <row r="26" spans="1:5" ht="12.75">
      <c r="A26" s="131"/>
      <c r="B26" s="145"/>
      <c r="C26" s="160"/>
      <c r="D26" s="160"/>
      <c r="E26" s="133"/>
    </row>
    <row r="27" spans="1:5" ht="12.75">
      <c r="A27" s="131"/>
      <c r="B27" s="145"/>
      <c r="C27" s="160"/>
      <c r="D27" s="160"/>
      <c r="E27" s="133"/>
    </row>
    <row r="28" spans="1:5" ht="12.75">
      <c r="A28" s="131"/>
      <c r="B28" s="145"/>
      <c r="C28" s="160"/>
      <c r="D28" s="160"/>
      <c r="E28" s="133"/>
    </row>
    <row r="29" spans="1:5" ht="12.75">
      <c r="A29" s="131"/>
      <c r="B29" s="145"/>
      <c r="C29" s="160"/>
      <c r="D29" s="160"/>
      <c r="E29" s="133"/>
    </row>
    <row r="30" spans="1:5" ht="13.5" thickBot="1">
      <c r="A30" s="182"/>
      <c r="B30" s="203"/>
      <c r="C30" s="185"/>
      <c r="D30" s="185"/>
      <c r="E30" s="186"/>
    </row>
    <row r="31" spans="1:5" ht="14.25" thickBot="1" thickTop="1">
      <c r="A31" s="187"/>
      <c r="B31" s="188"/>
      <c r="C31" s="189"/>
      <c r="D31" s="189"/>
      <c r="E31" s="190"/>
    </row>
    <row r="32" spans="1:7" ht="13.5" thickTop="1">
      <c r="A32" s="144"/>
      <c r="B32" s="145"/>
      <c r="C32" s="145"/>
      <c r="D32" s="145"/>
      <c r="E32" s="146"/>
      <c r="G32" s="113"/>
    </row>
    <row r="33" spans="1:5" ht="12.75">
      <c r="A33" s="131"/>
      <c r="B33" s="132"/>
      <c r="C33" s="132"/>
      <c r="D33" s="132"/>
      <c r="E33" s="133"/>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tabColor indexed="12"/>
  </sheetPr>
  <dimension ref="A1:F31"/>
  <sheetViews>
    <sheetView showGridLines="0" zoomScale="70" zoomScaleNormal="70" workbookViewId="0" topLeftCell="A1">
      <selection activeCell="A1" sqref="A1"/>
    </sheetView>
  </sheetViews>
  <sheetFormatPr defaultColWidth="9.140625" defaultRowHeight="12.75"/>
  <cols>
    <col min="1" max="1" width="2.8515625" style="0" customWidth="1"/>
    <col min="2" max="2" width="43.00390625" style="0" customWidth="1"/>
    <col min="3" max="3" width="9.57421875" style="0" bestFit="1" customWidth="1"/>
    <col min="4" max="4" width="2.8515625" style="0" customWidth="1"/>
    <col min="6" max="6" width="10.28125" style="0" bestFit="1" customWidth="1"/>
  </cols>
  <sheetData>
    <row r="1" spans="1:4" ht="13.5" thickBot="1">
      <c r="A1" s="204" t="str">
        <f>Assumptions!$G$38</f>
        <v>Jay Hammonds Auto Supply</v>
      </c>
      <c r="B1" s="204"/>
      <c r="C1" s="204"/>
      <c r="D1" s="204"/>
    </row>
    <row r="2" spans="1:4" ht="13.5" thickBot="1">
      <c r="A2" s="204" t="s">
        <v>235</v>
      </c>
      <c r="B2" s="204"/>
      <c r="C2" s="204"/>
      <c r="D2" s="204"/>
    </row>
    <row r="3" spans="1:4" ht="13.5" thickBot="1">
      <c r="A3" s="204" t="str">
        <f>TEXT(Assumptions!$G$30,"mmmm d, yyyy")</f>
        <v>January 31, 2006</v>
      </c>
      <c r="B3" s="204"/>
      <c r="C3" s="204"/>
      <c r="D3" s="204"/>
    </row>
    <row r="4" ht="13.5" thickBot="1"/>
    <row r="5" spans="1:4" ht="14.25" thickBot="1" thickTop="1">
      <c r="A5" s="139"/>
      <c r="B5" s="141" t="s">
        <v>212</v>
      </c>
      <c r="C5" s="165" t="s">
        <v>152</v>
      </c>
      <c r="D5" s="143"/>
    </row>
    <row r="6" spans="1:4" ht="13.5" thickTop="1">
      <c r="A6" s="144"/>
      <c r="B6" s="145" t="str">
        <f>Assumptions!H54</f>
        <v>Bryan Supply</v>
      </c>
      <c r="C6" s="166"/>
      <c r="D6" s="146"/>
    </row>
    <row r="7" spans="1:4" ht="12.75">
      <c r="A7" s="131"/>
      <c r="B7" s="145" t="str">
        <f>Assumptions!H55</f>
        <v>English and Cole</v>
      </c>
      <c r="C7" s="160"/>
      <c r="D7" s="133"/>
    </row>
    <row r="8" spans="1:4" ht="12.75">
      <c r="A8" s="131"/>
      <c r="B8" s="145" t="str">
        <f>Assumptions!H56</f>
        <v>L. Parker</v>
      </c>
      <c r="C8" s="160"/>
      <c r="D8" s="133"/>
    </row>
    <row r="9" spans="1:4" ht="12.75">
      <c r="A9" s="131"/>
      <c r="B9" s="145" t="str">
        <f>Assumptions!H57</f>
        <v>Peterson, Inc.</v>
      </c>
      <c r="C9" s="160"/>
      <c r="D9" s="133"/>
    </row>
    <row r="10" spans="1:6" ht="13.5" thickBot="1">
      <c r="A10" s="182"/>
      <c r="B10" s="203" t="str">
        <f>Assumptions!H58</f>
        <v>Vessey Appliance</v>
      </c>
      <c r="C10" s="185"/>
      <c r="D10" s="186"/>
      <c r="F10" s="205" t="s">
        <v>237</v>
      </c>
    </row>
    <row r="11" spans="1:6" ht="14.25" thickBot="1" thickTop="1">
      <c r="A11" s="187"/>
      <c r="B11" s="188"/>
      <c r="C11" s="189"/>
      <c r="D11" s="190"/>
      <c r="F11" s="110"/>
    </row>
    <row r="12" spans="1:4" ht="13.5" thickTop="1">
      <c r="A12" s="144"/>
      <c r="B12" s="145"/>
      <c r="C12" s="145"/>
      <c r="D12" s="146"/>
    </row>
    <row r="13" spans="1:4" ht="12.75">
      <c r="A13" s="131"/>
      <c r="B13" s="132"/>
      <c r="C13" s="132"/>
      <c r="D13" s="133"/>
    </row>
    <row r="14" spans="1:4" ht="12.75">
      <c r="A14" s="131"/>
      <c r="B14" s="132"/>
      <c r="C14" s="132"/>
      <c r="D14" s="133"/>
    </row>
    <row r="15" spans="1:4" ht="12.75">
      <c r="A15" s="131"/>
      <c r="B15" s="132"/>
      <c r="C15" s="132"/>
      <c r="D15" s="133"/>
    </row>
    <row r="17" spans="1:4" ht="13.5" thickBot="1">
      <c r="A17" s="204" t="str">
        <f>Assumptions!$G$38</f>
        <v>Jay Hammonds Auto Supply</v>
      </c>
      <c r="B17" s="204"/>
      <c r="C17" s="204"/>
      <c r="D17" s="204"/>
    </row>
    <row r="18" spans="1:4" ht="13.5" thickBot="1">
      <c r="A18" s="204" t="s">
        <v>236</v>
      </c>
      <c r="B18" s="204"/>
      <c r="C18" s="204"/>
      <c r="D18" s="204"/>
    </row>
    <row r="19" spans="1:4" ht="13.5" thickBot="1">
      <c r="A19" s="204" t="str">
        <f>TEXT(Assumptions!$G$30,"mmmm d, yyyy")</f>
        <v>January 31, 2006</v>
      </c>
      <c r="B19" s="204"/>
      <c r="C19" s="204"/>
      <c r="D19" s="204"/>
    </row>
    <row r="20" ht="13.5" thickBot="1"/>
    <row r="21" spans="1:4" ht="14.25" thickBot="1" thickTop="1">
      <c r="A21" s="139"/>
      <c r="B21" s="141" t="s">
        <v>212</v>
      </c>
      <c r="C21" s="165" t="s">
        <v>152</v>
      </c>
      <c r="D21" s="143"/>
    </row>
    <row r="22" spans="1:4" ht="13.5" thickTop="1">
      <c r="A22" s="144"/>
      <c r="B22" s="145" t="str">
        <f>Assumptions!J54</f>
        <v>Crosby Products</v>
      </c>
      <c r="C22" s="166"/>
      <c r="D22" s="146"/>
    </row>
    <row r="23" spans="1:4" ht="12.75">
      <c r="A23" s="131"/>
      <c r="B23" s="145" t="str">
        <f>Assumptions!J55</f>
        <v>Duncan Office Supply</v>
      </c>
      <c r="C23" s="160"/>
      <c r="D23" s="133"/>
    </row>
    <row r="24" spans="1:4" ht="12.75">
      <c r="A24" s="131"/>
      <c r="B24" s="145" t="str">
        <f>Assumptions!J56</f>
        <v>Franklin and Son</v>
      </c>
      <c r="C24" s="160"/>
      <c r="D24" s="133"/>
    </row>
    <row r="25" spans="1:6" ht="13.5" thickBot="1">
      <c r="A25" s="131"/>
      <c r="B25" s="145" t="str">
        <f>Assumptions!J57</f>
        <v>Vaughn and Company</v>
      </c>
      <c r="C25" s="160"/>
      <c r="D25" s="133"/>
      <c r="F25" s="205" t="s">
        <v>238</v>
      </c>
    </row>
    <row r="26" spans="1:6" ht="14.25" thickBot="1" thickTop="1">
      <c r="A26" s="187"/>
      <c r="B26" s="188"/>
      <c r="C26" s="189"/>
      <c r="D26" s="190"/>
      <c r="F26" s="110"/>
    </row>
    <row r="27" spans="1:4" ht="13.5" thickTop="1">
      <c r="A27" s="131"/>
      <c r="B27" s="145"/>
      <c r="C27" s="132"/>
      <c r="D27" s="133"/>
    </row>
    <row r="28" spans="1:4" ht="12.75">
      <c r="A28" s="131"/>
      <c r="B28" s="132"/>
      <c r="C28" s="132"/>
      <c r="D28" s="133"/>
    </row>
    <row r="29" spans="1:4" ht="12.75">
      <c r="A29" s="131"/>
      <c r="B29" s="132"/>
      <c r="C29" s="132"/>
      <c r="D29" s="133"/>
    </row>
    <row r="30" spans="1:4" ht="12.75">
      <c r="A30" s="131"/>
      <c r="B30" s="132"/>
      <c r="C30" s="132"/>
      <c r="D30" s="133"/>
    </row>
    <row r="31" spans="1:4" ht="12.75">
      <c r="A31" s="131"/>
      <c r="B31" s="132"/>
      <c r="C31" s="132"/>
      <c r="D31" s="133"/>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D29" sqref="D29:F30"/>
    </sheetView>
  </sheetViews>
  <sheetFormatPr defaultColWidth="9.140625" defaultRowHeight="12.75"/>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D29" sqref="D29:F30"/>
    </sheetView>
  </sheetViews>
  <sheetFormatPr defaultColWidth="9.140625" defaultRowHeight="12.75"/>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D29" sqref="D29:F30"/>
    </sheetView>
  </sheetViews>
  <sheetFormatPr defaultColWidth="9.140625" defaultRowHeight="12.75"/>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D29" sqref="D29:F30"/>
    </sheetView>
  </sheetViews>
  <sheetFormatPr defaultColWidth="9.140625" defaultRowHeight="12.75"/>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D29" sqref="D29:F30"/>
    </sheetView>
  </sheetViews>
  <sheetFormatPr defaultColWidth="9.140625" defaultRowHeight="12.75"/>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D29" sqref="D29:F30"/>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1">
    <tabColor indexed="61"/>
    <pageSetUpPr fitToPage="1"/>
  </sheetPr>
  <dimension ref="A2:N37"/>
  <sheetViews>
    <sheetView zoomScale="70" zoomScaleNormal="70" workbookViewId="0" topLeftCell="A1">
      <selection activeCell="A1" sqref="A1"/>
    </sheetView>
  </sheetViews>
  <sheetFormatPr defaultColWidth="9.140625" defaultRowHeight="12.75"/>
  <cols>
    <col min="1" max="1" width="9.140625" style="29" customWidth="1"/>
    <col min="2" max="2" width="5.00390625" style="29" customWidth="1"/>
    <col min="3" max="3" width="10.00390625" style="29" customWidth="1"/>
    <col min="4" max="4" width="18.57421875" style="29" customWidth="1"/>
    <col min="5" max="5" width="9.140625" style="29" customWidth="1"/>
    <col min="6" max="6" width="6.00390625" style="29" customWidth="1"/>
    <col min="7" max="7" width="6.7109375" style="29" customWidth="1"/>
    <col min="8" max="8" width="9.140625" style="29" customWidth="1"/>
    <col min="9" max="9" width="1.7109375" style="29" customWidth="1"/>
    <col min="10" max="10" width="7.57421875" style="29" customWidth="1"/>
    <col min="11" max="11" width="1.7109375" style="29" customWidth="1"/>
    <col min="12" max="12" width="9.140625" style="29" customWidth="1"/>
    <col min="13" max="13" width="14.8515625" style="29" customWidth="1"/>
    <col min="14" max="14" width="5.00390625" style="29" customWidth="1"/>
    <col min="15" max="16384" width="9.140625" style="29" customWidth="1"/>
  </cols>
  <sheetData>
    <row r="2" spans="1:14" ht="12.75">
      <c r="A2" s="27" t="s">
        <v>23</v>
      </c>
      <c r="B2" s="28"/>
      <c r="C2" s="28"/>
      <c r="D2" s="28"/>
      <c r="E2" s="28"/>
      <c r="F2" s="28"/>
      <c r="G2" s="28"/>
      <c r="H2" s="28"/>
      <c r="I2" s="28"/>
      <c r="J2" s="28"/>
      <c r="K2" s="28"/>
      <c r="L2" s="28"/>
      <c r="M2" s="28"/>
      <c r="N2" s="28"/>
    </row>
    <row r="3" spans="1:14" ht="12.75" customHeight="1">
      <c r="A3" s="27" t="s">
        <v>50</v>
      </c>
      <c r="B3" s="28"/>
      <c r="C3" s="224" t="s">
        <v>51</v>
      </c>
      <c r="D3" s="224"/>
      <c r="E3" s="224"/>
      <c r="F3" s="224"/>
      <c r="G3" s="224"/>
      <c r="H3" s="224"/>
      <c r="I3" s="224"/>
      <c r="J3" s="224"/>
      <c r="K3" s="30"/>
      <c r="L3" s="31" t="s">
        <v>52</v>
      </c>
      <c r="M3" s="32">
        <v>104963</v>
      </c>
      <c r="N3" s="33"/>
    </row>
    <row r="4" spans="1:14" ht="12.75">
      <c r="A4" s="27" t="s">
        <v>21</v>
      </c>
      <c r="B4" s="28"/>
      <c r="C4" s="224"/>
      <c r="D4" s="224"/>
      <c r="E4" s="224"/>
      <c r="F4" s="224"/>
      <c r="G4" s="224"/>
      <c r="H4" s="224"/>
      <c r="I4" s="224"/>
      <c r="J4" s="224"/>
      <c r="K4" s="30"/>
      <c r="L4" s="31"/>
      <c r="M4" s="33"/>
      <c r="N4" s="33"/>
    </row>
    <row r="5" spans="1:14" ht="12.75">
      <c r="A5" s="27" t="s">
        <v>53</v>
      </c>
      <c r="B5" s="28"/>
      <c r="C5" s="224"/>
      <c r="D5" s="224"/>
      <c r="E5" s="224"/>
      <c r="F5" s="224"/>
      <c r="G5" s="224"/>
      <c r="H5" s="224"/>
      <c r="I5" s="224"/>
      <c r="J5" s="224"/>
      <c r="K5" s="28"/>
      <c r="L5" s="28"/>
      <c r="M5" s="28"/>
      <c r="N5" s="28"/>
    </row>
    <row r="6" spans="2:14" ht="13.5" thickBot="1">
      <c r="B6" s="28"/>
      <c r="C6" s="224"/>
      <c r="D6" s="224"/>
      <c r="E6" s="224"/>
      <c r="F6" s="224"/>
      <c r="G6" s="224"/>
      <c r="H6" s="224"/>
      <c r="I6" s="224"/>
      <c r="J6" s="224"/>
      <c r="K6" s="28"/>
      <c r="L6" s="28"/>
      <c r="M6" s="28"/>
      <c r="N6" s="28"/>
    </row>
    <row r="7" spans="2:14" ht="24.75" thickBot="1" thickTop="1">
      <c r="B7" s="28"/>
      <c r="C7" s="28"/>
      <c r="D7" s="28"/>
      <c r="E7" s="28"/>
      <c r="F7" s="28"/>
      <c r="G7" s="28"/>
      <c r="H7" s="28"/>
      <c r="I7" s="28"/>
      <c r="J7" s="28"/>
      <c r="K7" s="28"/>
      <c r="L7" s="28"/>
      <c r="M7" s="34" t="s">
        <v>54</v>
      </c>
      <c r="N7" s="28"/>
    </row>
    <row r="8" spans="2:14" ht="4.5" customHeight="1" thickTop="1">
      <c r="B8" s="28"/>
      <c r="C8" s="35"/>
      <c r="D8" s="35"/>
      <c r="E8" s="35"/>
      <c r="F8" s="35"/>
      <c r="G8" s="35"/>
      <c r="H8" s="35"/>
      <c r="I8" s="35"/>
      <c r="J8" s="35"/>
      <c r="K8" s="35"/>
      <c r="L8" s="35"/>
      <c r="M8" s="36"/>
      <c r="N8" s="37"/>
    </row>
    <row r="9" spans="2:14" ht="12.75">
      <c r="B9" s="28"/>
      <c r="C9" s="28"/>
      <c r="D9" s="28"/>
      <c r="E9" s="28"/>
      <c r="F9" s="28"/>
      <c r="G9" s="28"/>
      <c r="H9" s="28"/>
      <c r="I9" s="28"/>
      <c r="J9" s="28"/>
      <c r="K9" s="28"/>
      <c r="L9" s="28"/>
      <c r="M9" s="28"/>
      <c r="N9" s="28"/>
    </row>
    <row r="10" spans="2:14" ht="13.5" thickBot="1">
      <c r="B10" s="28"/>
      <c r="C10" s="28"/>
      <c r="D10" s="28"/>
      <c r="E10" s="28"/>
      <c r="F10" s="28"/>
      <c r="G10" s="28"/>
      <c r="H10" s="28"/>
      <c r="I10" s="28"/>
      <c r="J10" s="28"/>
      <c r="K10" s="28"/>
      <c r="L10" s="28"/>
      <c r="M10" s="28"/>
      <c r="N10" s="28"/>
    </row>
    <row r="11" spans="2:14" ht="13.5" thickBot="1">
      <c r="B11" s="28"/>
      <c r="C11" s="38" t="s">
        <v>55</v>
      </c>
      <c r="D11" s="39"/>
      <c r="E11" s="40"/>
      <c r="F11" s="40"/>
      <c r="G11" s="40"/>
      <c r="H11" s="40"/>
      <c r="I11" s="41"/>
      <c r="J11" s="28"/>
      <c r="K11" s="28"/>
      <c r="L11" s="38" t="s">
        <v>56</v>
      </c>
      <c r="M11" s="42"/>
      <c r="N11" s="28"/>
    </row>
    <row r="12" spans="2:14" ht="6" customHeight="1">
      <c r="B12" s="28"/>
      <c r="C12" s="28"/>
      <c r="D12" s="28"/>
      <c r="E12" s="28"/>
      <c r="F12" s="28"/>
      <c r="G12" s="28"/>
      <c r="H12" s="28"/>
      <c r="I12" s="43"/>
      <c r="J12" s="28"/>
      <c r="K12" s="28"/>
      <c r="L12" s="28"/>
      <c r="M12" s="44"/>
      <c r="N12" s="28"/>
    </row>
    <row r="13" spans="2:14" ht="12.75">
      <c r="B13" s="28"/>
      <c r="C13" s="28" t="s">
        <v>57</v>
      </c>
      <c r="D13" s="227" t="s">
        <v>58</v>
      </c>
      <c r="E13" s="227"/>
      <c r="F13" s="227"/>
      <c r="G13" s="227"/>
      <c r="H13" s="227"/>
      <c r="I13" s="43"/>
      <c r="J13" s="28"/>
      <c r="K13" s="28"/>
      <c r="L13" s="28" t="s">
        <v>17</v>
      </c>
      <c r="M13" s="45">
        <v>37680</v>
      </c>
      <c r="N13" s="46"/>
    </row>
    <row r="14" spans="2:14" ht="12.75">
      <c r="B14" s="28"/>
      <c r="C14" s="28" t="s">
        <v>59</v>
      </c>
      <c r="D14" s="228" t="s">
        <v>60</v>
      </c>
      <c r="E14" s="228"/>
      <c r="F14" s="228"/>
      <c r="G14" s="228"/>
      <c r="H14" s="228"/>
      <c r="I14" s="43"/>
      <c r="J14" s="28"/>
      <c r="K14" s="28"/>
      <c r="L14" s="28" t="s">
        <v>61</v>
      </c>
      <c r="M14" s="47"/>
      <c r="N14" s="48"/>
    </row>
    <row r="15" spans="2:14" ht="12.75">
      <c r="B15" s="28"/>
      <c r="C15" s="28" t="s">
        <v>62</v>
      </c>
      <c r="D15" s="49" t="s">
        <v>63</v>
      </c>
      <c r="E15" s="50" t="s">
        <v>64</v>
      </c>
      <c r="F15" s="51" t="s">
        <v>65</v>
      </c>
      <c r="G15" s="50" t="s">
        <v>66</v>
      </c>
      <c r="H15" s="51" t="s">
        <v>67</v>
      </c>
      <c r="I15" s="43"/>
      <c r="J15" s="28"/>
      <c r="K15" s="28"/>
      <c r="L15" s="28" t="s">
        <v>68</v>
      </c>
      <c r="M15" s="52"/>
      <c r="N15" s="28"/>
    </row>
    <row r="16" spans="2:14" ht="12.75">
      <c r="B16" s="28"/>
      <c r="C16" s="28" t="s">
        <v>69</v>
      </c>
      <c r="D16" s="227"/>
      <c r="E16" s="227"/>
      <c r="F16" s="227"/>
      <c r="G16" s="227"/>
      <c r="H16" s="227"/>
      <c r="I16" s="43"/>
      <c r="J16" s="28"/>
      <c r="K16" s="28"/>
      <c r="L16" s="28" t="s">
        <v>70</v>
      </c>
      <c r="M16" s="53" t="s">
        <v>71</v>
      </c>
      <c r="N16" s="28"/>
    </row>
    <row r="17" spans="2:14" ht="12.75">
      <c r="B17" s="28"/>
      <c r="C17" s="28"/>
      <c r="D17" s="28"/>
      <c r="E17" s="28"/>
      <c r="F17" s="28"/>
      <c r="G17" s="28"/>
      <c r="H17" s="28"/>
      <c r="I17" s="28"/>
      <c r="J17" s="28"/>
      <c r="K17" s="28"/>
      <c r="L17" s="28"/>
      <c r="M17" s="28"/>
      <c r="N17" s="28"/>
    </row>
    <row r="18" spans="2:14" ht="12.75">
      <c r="B18" s="28"/>
      <c r="C18" s="54" t="s">
        <v>72</v>
      </c>
      <c r="D18" s="229" t="s">
        <v>18</v>
      </c>
      <c r="E18" s="230"/>
      <c r="F18" s="230"/>
      <c r="G18" s="230"/>
      <c r="H18" s="230"/>
      <c r="I18" s="230"/>
      <c r="J18" s="230"/>
      <c r="K18" s="231"/>
      <c r="L18" s="54" t="s">
        <v>73</v>
      </c>
      <c r="M18" s="55" t="s">
        <v>74</v>
      </c>
      <c r="N18" s="56"/>
    </row>
    <row r="19" spans="2:14" ht="12.75">
      <c r="B19" s="28"/>
      <c r="C19" s="57">
        <v>5</v>
      </c>
      <c r="D19" s="232" t="s">
        <v>75</v>
      </c>
      <c r="E19" s="233"/>
      <c r="F19" s="233"/>
      <c r="G19" s="233"/>
      <c r="H19" s="233"/>
      <c r="I19" s="233"/>
      <c r="J19" s="233"/>
      <c r="K19" s="234"/>
      <c r="L19" s="58">
        <v>90</v>
      </c>
      <c r="M19" s="59">
        <f>IF(L19&lt;&gt;"",ROUND(L19*C19,2),"")</f>
        <v>450</v>
      </c>
      <c r="N19" s="56"/>
    </row>
    <row r="20" spans="2:14" ht="12.75">
      <c r="B20" s="28"/>
      <c r="C20" s="60"/>
      <c r="D20" s="221"/>
      <c r="E20" s="222"/>
      <c r="F20" s="222"/>
      <c r="G20" s="222"/>
      <c r="H20" s="222"/>
      <c r="I20" s="222"/>
      <c r="J20" s="222"/>
      <c r="K20" s="223"/>
      <c r="L20" s="61"/>
      <c r="M20" s="62">
        <f>IF(L20&lt;&gt;"",ROUND(L20*C20,2),"")</f>
      </c>
      <c r="N20" s="56"/>
    </row>
    <row r="21" spans="2:14" ht="12.75">
      <c r="B21" s="28"/>
      <c r="C21" s="60"/>
      <c r="D21" s="221"/>
      <c r="E21" s="222"/>
      <c r="F21" s="222"/>
      <c r="G21" s="222"/>
      <c r="H21" s="222"/>
      <c r="I21" s="222"/>
      <c r="J21" s="222"/>
      <c r="K21" s="223"/>
      <c r="L21" s="61"/>
      <c r="M21" s="62">
        <f>IF(L21&lt;&gt;"",ROUND(L21*C21,2),"")</f>
      </c>
      <c r="N21" s="56"/>
    </row>
    <row r="22" spans="2:14" ht="12.75">
      <c r="B22" s="28"/>
      <c r="C22" s="63"/>
      <c r="D22" s="52" t="s">
        <v>76</v>
      </c>
      <c r="E22" s="64"/>
      <c r="F22" s="64"/>
      <c r="G22" s="64"/>
      <c r="H22" s="64"/>
      <c r="I22" s="64"/>
      <c r="J22" s="64"/>
      <c r="K22" s="65"/>
      <c r="L22" s="66"/>
      <c r="M22" s="67">
        <f>IF(L22&lt;&gt;"",ROUND(L22*C22,2),"")</f>
      </c>
      <c r="N22" s="56"/>
    </row>
    <row r="23" spans="2:14" ht="12.75">
      <c r="B23" s="28"/>
      <c r="C23" s="28"/>
      <c r="D23" s="28"/>
      <c r="E23" s="28"/>
      <c r="F23" s="28"/>
      <c r="G23" s="28"/>
      <c r="H23" s="28"/>
      <c r="I23" s="28"/>
      <c r="J23" s="28"/>
      <c r="K23" s="28"/>
      <c r="L23" s="68" t="s">
        <v>77</v>
      </c>
      <c r="M23" s="69">
        <f>IF(SUM(M19:M22)&gt;0,SUM(M19:M22),"")</f>
        <v>450</v>
      </c>
      <c r="N23" s="56"/>
    </row>
    <row r="24" spans="2:14" ht="13.5" thickBot="1">
      <c r="B24" s="28"/>
      <c r="C24" s="28"/>
      <c r="D24" s="28"/>
      <c r="E24" s="28"/>
      <c r="F24" s="28"/>
      <c r="G24" s="28"/>
      <c r="H24" s="28"/>
      <c r="I24" s="28"/>
      <c r="J24" s="28"/>
      <c r="K24" s="28"/>
      <c r="L24" s="68" t="s">
        <v>78</v>
      </c>
      <c r="M24" s="70"/>
      <c r="N24" s="56"/>
    </row>
    <row r="25" spans="2:14" ht="13.5" thickBot="1">
      <c r="B25" s="28"/>
      <c r="C25" s="38" t="s">
        <v>79</v>
      </c>
      <c r="D25" s="71" t="s">
        <v>80</v>
      </c>
      <c r="E25" s="40"/>
      <c r="F25" s="40"/>
      <c r="G25" s="41"/>
      <c r="H25" s="72"/>
      <c r="I25" s="72"/>
      <c r="J25" s="50" t="s">
        <v>81</v>
      </c>
      <c r="K25" s="68"/>
      <c r="L25" s="73"/>
      <c r="M25" s="74">
        <f>IF(AND(L25&lt;&gt;"",$M$23&lt;&gt;""),ROUND(L25*$M$23,2),"")</f>
      </c>
      <c r="N25" s="56"/>
    </row>
    <row r="26" spans="2:14" ht="12.75">
      <c r="B26" s="28"/>
      <c r="C26" s="75"/>
      <c r="D26" s="225"/>
      <c r="E26" s="225"/>
      <c r="F26" s="225"/>
      <c r="G26" s="76"/>
      <c r="H26" s="72"/>
      <c r="I26" s="72"/>
      <c r="J26" s="28"/>
      <c r="K26" s="28"/>
      <c r="L26" s="77"/>
      <c r="M26" s="74">
        <f>IF(L26&lt;&gt;"",ROUND(L26*$M$23,2),"")</f>
      </c>
      <c r="N26" s="56"/>
    </row>
    <row r="27" spans="2:14" ht="12.75">
      <c r="B27" s="28"/>
      <c r="C27" s="68" t="s">
        <v>82</v>
      </c>
      <c r="D27" s="226"/>
      <c r="E27" s="226"/>
      <c r="F27" s="226"/>
      <c r="G27" s="76"/>
      <c r="H27" s="78"/>
      <c r="I27" s="78"/>
      <c r="J27" s="28"/>
      <c r="K27" s="28"/>
      <c r="L27" s="31" t="s">
        <v>83</v>
      </c>
      <c r="M27" s="79">
        <f>IF(M23&lt;&gt;"",SUM(M23:M26),"")</f>
        <v>450</v>
      </c>
      <c r="N27" s="56"/>
    </row>
    <row r="28" spans="2:14" ht="12.75">
      <c r="B28" s="28"/>
      <c r="C28" s="68" t="s">
        <v>57</v>
      </c>
      <c r="D28" s="238"/>
      <c r="E28" s="238"/>
      <c r="F28" s="238"/>
      <c r="G28" s="43"/>
      <c r="H28" s="78"/>
      <c r="I28" s="78"/>
      <c r="J28" s="28"/>
      <c r="K28" s="28"/>
      <c r="L28" s="28"/>
      <c r="M28" s="28"/>
      <c r="N28" s="56"/>
    </row>
    <row r="29" spans="2:14" ht="12.75">
      <c r="B29" s="28"/>
      <c r="C29" s="68" t="s">
        <v>84</v>
      </c>
      <c r="D29" s="239"/>
      <c r="E29" s="239"/>
      <c r="F29" s="239"/>
      <c r="G29" s="43"/>
      <c r="H29" s="80"/>
      <c r="I29" s="80"/>
      <c r="J29" s="240" t="s">
        <v>85</v>
      </c>
      <c r="K29" s="241"/>
      <c r="L29" s="241"/>
      <c r="M29" s="242"/>
      <c r="N29" s="56"/>
    </row>
    <row r="30" spans="2:14" ht="12.75">
      <c r="B30" s="28"/>
      <c r="C30" s="68" t="s">
        <v>86</v>
      </c>
      <c r="D30" s="248"/>
      <c r="E30" s="248"/>
      <c r="F30" s="248"/>
      <c r="G30" s="43"/>
      <c r="H30" s="80"/>
      <c r="I30" s="80"/>
      <c r="J30" s="243"/>
      <c r="K30" s="244"/>
      <c r="L30" s="245"/>
      <c r="M30" s="215"/>
      <c r="N30" s="56"/>
    </row>
    <row r="31" spans="2:14" ht="12.75">
      <c r="B31" s="28"/>
      <c r="C31" s="28"/>
      <c r="D31" s="28"/>
      <c r="E31" s="28"/>
      <c r="F31" s="28"/>
      <c r="G31" s="28"/>
      <c r="H31" s="80"/>
      <c r="I31" s="80"/>
      <c r="J31" s="216"/>
      <c r="K31" s="246"/>
      <c r="L31" s="246"/>
      <c r="M31" s="247"/>
      <c r="N31" s="56"/>
    </row>
    <row r="32" spans="2:14" ht="12.75">
      <c r="B32" s="28"/>
      <c r="C32" s="28"/>
      <c r="D32" s="28"/>
      <c r="E32" s="28"/>
      <c r="F32" s="28"/>
      <c r="G32" s="28"/>
      <c r="H32" s="28"/>
      <c r="I32" s="28"/>
      <c r="J32" s="28"/>
      <c r="K32" s="28"/>
      <c r="L32" s="28"/>
      <c r="M32" s="28"/>
      <c r="N32" s="56"/>
    </row>
    <row r="33" spans="2:14" ht="13.5" thickBot="1">
      <c r="B33" s="28"/>
      <c r="C33" s="28"/>
      <c r="D33" s="28"/>
      <c r="E33" s="28"/>
      <c r="F33" s="28"/>
      <c r="G33" s="28"/>
      <c r="H33" s="28"/>
      <c r="I33" s="28"/>
      <c r="J33" s="28"/>
      <c r="K33" s="28"/>
      <c r="L33" s="28"/>
      <c r="M33" s="28"/>
      <c r="N33" s="56"/>
    </row>
    <row r="34" spans="2:14" ht="13.5" thickTop="1">
      <c r="B34" s="28"/>
      <c r="C34" s="35"/>
      <c r="D34" s="81"/>
      <c r="E34" s="81"/>
      <c r="F34" s="81"/>
      <c r="G34" s="81"/>
      <c r="H34" s="81"/>
      <c r="I34" s="81"/>
      <c r="J34" s="81"/>
      <c r="K34" s="81"/>
      <c r="L34" s="81"/>
      <c r="M34" s="35"/>
      <c r="N34" s="56"/>
    </row>
    <row r="35" spans="2:14" ht="12.75">
      <c r="B35" s="28"/>
      <c r="C35" s="28"/>
      <c r="D35" s="235"/>
      <c r="E35" s="236"/>
      <c r="F35" s="236"/>
      <c r="G35" s="236"/>
      <c r="H35" s="236"/>
      <c r="I35" s="236"/>
      <c r="J35" s="236"/>
      <c r="K35" s="236"/>
      <c r="L35" s="236"/>
      <c r="M35" s="28"/>
      <c r="N35" s="56"/>
    </row>
    <row r="36" spans="2:14" ht="12.75">
      <c r="B36" s="28"/>
      <c r="C36" s="28"/>
      <c r="D36" s="237"/>
      <c r="E36" s="237"/>
      <c r="F36" s="237"/>
      <c r="G36" s="237"/>
      <c r="H36" s="237"/>
      <c r="I36" s="237"/>
      <c r="J36" s="237"/>
      <c r="K36" s="237"/>
      <c r="L36" s="237"/>
      <c r="M36" s="28"/>
      <c r="N36" s="56"/>
    </row>
    <row r="37" spans="2:14" ht="12.75">
      <c r="B37" s="28"/>
      <c r="C37" s="28"/>
      <c r="D37" s="237"/>
      <c r="E37" s="237"/>
      <c r="F37" s="237"/>
      <c r="G37" s="237"/>
      <c r="H37" s="237"/>
      <c r="I37" s="237"/>
      <c r="J37" s="237"/>
      <c r="K37" s="237"/>
      <c r="L37" s="237"/>
      <c r="M37" s="28"/>
      <c r="N37" s="56"/>
    </row>
  </sheetData>
  <sheetProtection selectLockedCells="1"/>
  <mergeCells count="14">
    <mergeCell ref="D35:L37"/>
    <mergeCell ref="D28:F28"/>
    <mergeCell ref="D29:F29"/>
    <mergeCell ref="J29:M31"/>
    <mergeCell ref="D30:F30"/>
    <mergeCell ref="D21:K21"/>
    <mergeCell ref="C3:J6"/>
    <mergeCell ref="D26:F27"/>
    <mergeCell ref="D13:H13"/>
    <mergeCell ref="D14:H14"/>
    <mergeCell ref="D16:H16"/>
    <mergeCell ref="D18:K18"/>
    <mergeCell ref="D19:K19"/>
    <mergeCell ref="D20:K20"/>
  </mergeCells>
  <dataValidations count="11">
    <dataValidation errorStyle="warning" type="whole" allowBlank="1" showErrorMessage="1" promptTitle="Quantity" errorTitle="Quantity" error="You must enter a number in this cell." sqref="C19:C22">
      <formula1>0</formula1>
      <formula2>1000000000</formula2>
    </dataValidation>
    <dataValidation errorStyle="warning" allowBlank="1" showInputMessage="1" promptTitle="Credit Card Number" prompt="Enter the customer's credit card number in this space." errorTitle="Credit Card Number" sqref="D29:F29"/>
    <dataValidation errorStyle="warning" allowBlank="1" showInputMessage="1" promptTitle="Farewell Statement" prompt="Enter any parting message for your customers (company slogan, mission statement, etc.) If you do not want a parting message, use Edit|Clear|Contents to remove the existing text." errorTitle="Farewell Statement" sqref="D35:L37"/>
    <dataValidation errorStyle="warning" allowBlank="1" showInputMessage="1" promptTitle="State" prompt="Enter the state abbreviation into this cell." errorTitle="State" sqref="F15"/>
    <dataValidation errorStyle="warning" allowBlank="1" showInputMessage="1" promptTitle="Office Use Only" prompt="Use this block for any information not included elsewhere on this invoice. Either type it right into the sheet or write it into the block after printing." errorTitle="Office Use Only" sqref="J29:M31"/>
    <dataValidation type="decimal" allowBlank="1" showErrorMessage="1" promptTitle="Unit Price" errorTitle="Unit Price" error="You must enter a number into this cell." sqref="L19:L22">
      <formula1>0</formula1>
      <formula2>1000000000</formula2>
    </dataValidation>
    <dataValidation errorStyle="warning" allowBlank="1" showInputMessage="1" promptTitle="Shipping Charge" prompt="Please enter a shipping charge, if applicable." errorTitle="Shipping Charge" error="The shaded cells contain formulas and are automatically calculated by Excel. DO NOT enter any information into them." sqref="M24"/>
    <dataValidation allowBlank="1" showInputMessage="1" showErrorMessage="1" promptTitle="Tax Rate" prompt="To add a tax here, or to change the percentage associated with this tax, enter the tax rate in the cell to the left.  The tax rate will then be automatically calculated." sqref="L25:L26"/>
    <dataValidation type="list" showInputMessage="1" showErrorMessage="1" promptTitle="Payment:" prompt="Please select a payment type from the drop down list." sqref="D25">
      <formula1>$A$2:$A$5</formula1>
    </dataValidation>
    <dataValidation allowBlank="1" showInputMessage="1" showErrorMessage="1" promptTitle="Name" prompt="Enter the customer's name as it appears on the credit card." sqref="D28:F28"/>
    <dataValidation allowBlank="1" showInputMessage="1" showErrorMessage="1" promptTitle="Company Information" prompt="To enter multiple lines in a single cell, use Alt + Enter.&#10;&#10;You can also customize this template with your company information and then save it as a new template for future use.  See the help topics for more information on how to create custom templates." sqref="C3:J6"/>
  </dataValidations>
  <printOptions horizontalCentered="1" verticalCentered="1"/>
  <pageMargins left="0.5" right="0.5" top="0.5" bottom="0.5" header="0.5" footer="0.5"/>
  <pageSetup fitToHeight="1" fitToWidth="1" horizontalDpi="600" verticalDpi="600" orientation="portrait" scale="93" r:id="rId1"/>
  <headerFooter alignWithMargins="0">
    <oddFooter>&amp;CAccounting is Fun!</oddFooter>
  </headerFooter>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D29" sqref="D29:F30"/>
    </sheetView>
  </sheetViews>
  <sheetFormatPr defaultColWidth="9.140625" defaultRowHeight="12.75"/>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D29" sqref="D29:F30"/>
    </sheetView>
  </sheetViews>
  <sheetFormatPr defaultColWidth="9.140625" defaultRowHeight="12.75"/>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D29" sqref="D29:F30"/>
    </sheetView>
  </sheetViews>
  <sheetFormatPr defaultColWidth="9.140625" defaultRowHeight="12.75"/>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D29" sqref="D29:F30"/>
    </sheetView>
  </sheetViews>
  <sheetFormatPr defaultColWidth="9.140625" defaultRowHeight="12.75"/>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D29" sqref="D29:F30"/>
    </sheetView>
  </sheetViews>
  <sheetFormatPr defaultColWidth="9.140625" defaultRowHeight="12.75"/>
  <sheetData/>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A1"/>
  <sheetViews>
    <sheetView workbookViewId="0" topLeftCell="A1">
      <selection activeCell="D29" sqref="D29:F30"/>
    </sheetView>
  </sheetViews>
  <sheetFormatPr defaultColWidth="9.140625" defaultRowHeight="12.75"/>
  <sheetData/>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A1"/>
  <sheetViews>
    <sheetView workbookViewId="0" topLeftCell="A1">
      <selection activeCell="D29" sqref="D29:F30"/>
    </sheetView>
  </sheetViews>
  <sheetFormatPr defaultColWidth="9.140625" defaultRowHeight="12.75"/>
  <sheetData/>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A1"/>
  <sheetViews>
    <sheetView workbookViewId="0" topLeftCell="A1">
      <selection activeCell="D29" sqref="D29:F30"/>
    </sheetView>
  </sheetViews>
  <sheetFormatPr defaultColWidth="9.140625" defaultRowHeight="12.75"/>
  <sheetData/>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A1"/>
  <sheetViews>
    <sheetView workbookViewId="0" topLeftCell="A1">
      <selection activeCell="D29" sqref="D29:F30"/>
    </sheetView>
  </sheetViews>
  <sheetFormatPr defaultColWidth="9.140625" defaultRowHeight="12.75"/>
  <sheetData/>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sheetPr codeName="Sheet7">
    <tabColor indexed="40"/>
  </sheetPr>
  <dimension ref="A1:I13"/>
  <sheetViews>
    <sheetView showGridLines="0" zoomScale="85" zoomScaleNormal="85" workbookViewId="0" topLeftCell="A1">
      <selection activeCell="D29" sqref="D29:F30"/>
    </sheetView>
  </sheetViews>
  <sheetFormatPr defaultColWidth="9.140625" defaultRowHeight="12.75"/>
  <cols>
    <col min="1" max="1" width="21.140625" style="13" customWidth="1"/>
    <col min="2" max="2" width="9.140625" style="13" customWidth="1"/>
    <col min="3" max="3" width="1.8515625" style="13" customWidth="1"/>
    <col min="4" max="4" width="7.8515625" style="13" bestFit="1" customWidth="1"/>
    <col min="5" max="5" width="4.00390625" style="13" customWidth="1"/>
    <col min="6" max="6" width="38.8515625" style="13" customWidth="1"/>
    <col min="7" max="7" width="5.421875" style="13" hidden="1" customWidth="1"/>
    <col min="8" max="9" width="9.28125" style="13" customWidth="1"/>
    <col min="10" max="16384" width="9.140625" style="13" customWidth="1"/>
  </cols>
  <sheetData>
    <row r="1" spans="1:4" ht="25.5">
      <c r="A1" s="88" t="s">
        <v>11</v>
      </c>
      <c r="B1" s="89">
        <v>100</v>
      </c>
      <c r="D1" s="14" t="s">
        <v>12</v>
      </c>
    </row>
    <row r="2" spans="1:4" ht="26.25" thickBot="1">
      <c r="A2" s="90" t="s">
        <v>13</v>
      </c>
      <c r="B2" s="91">
        <f>D2*B1</f>
        <v>8.25</v>
      </c>
      <c r="D2" s="16">
        <v>0.0825</v>
      </c>
    </row>
    <row r="3" spans="1:2" ht="13.5" thickBot="1">
      <c r="A3" s="92" t="s">
        <v>14</v>
      </c>
      <c r="B3" s="93">
        <f>SUM(B1:B2)</f>
        <v>108.25</v>
      </c>
    </row>
    <row r="4" spans="1:6" ht="39" thickBot="1">
      <c r="A4" s="94" t="s">
        <v>15</v>
      </c>
      <c r="B4" s="93">
        <f>B3*D4</f>
        <v>3.7887500000000003</v>
      </c>
      <c r="D4" s="17">
        <v>0.035</v>
      </c>
      <c r="F4" s="12"/>
    </row>
    <row r="5" spans="1:2" ht="64.5" thickBot="1">
      <c r="A5" s="95" t="s">
        <v>16</v>
      </c>
      <c r="B5" s="96">
        <f>B3-B4</f>
        <v>104.46125</v>
      </c>
    </row>
    <row r="6" ht="13.5" thickTop="1"/>
    <row r="7" spans="4:9" ht="25.5">
      <c r="D7" s="217" t="s">
        <v>17</v>
      </c>
      <c r="E7" s="217"/>
      <c r="F7" s="17" t="s">
        <v>18</v>
      </c>
      <c r="G7" s="88" t="s">
        <v>19</v>
      </c>
      <c r="H7" s="19" t="s">
        <v>20</v>
      </c>
      <c r="I7" s="19" t="s">
        <v>21</v>
      </c>
    </row>
    <row r="8" spans="4:9" ht="12.75">
      <c r="D8" s="18">
        <v>2003</v>
      </c>
      <c r="E8" s="18"/>
      <c r="F8" s="17"/>
      <c r="G8" s="17"/>
      <c r="H8" s="19"/>
      <c r="I8" s="19"/>
    </row>
    <row r="9" spans="4:9" ht="12.75">
      <c r="D9" s="18" t="s">
        <v>22</v>
      </c>
      <c r="E9" s="18">
        <v>26</v>
      </c>
      <c r="F9" s="17" t="s">
        <v>23</v>
      </c>
      <c r="G9" s="17"/>
      <c r="H9" s="19">
        <f>B5</f>
        <v>104.46125</v>
      </c>
      <c r="I9" s="19"/>
    </row>
    <row r="10" spans="4:9" ht="12.75">
      <c r="D10" s="18"/>
      <c r="E10" s="18"/>
      <c r="F10" s="87" t="s">
        <v>24</v>
      </c>
      <c r="G10" s="17"/>
      <c r="H10" s="19">
        <f>B4</f>
        <v>3.7887500000000003</v>
      </c>
      <c r="I10" s="19"/>
    </row>
    <row r="11" spans="4:9" ht="12.75">
      <c r="D11" s="18"/>
      <c r="E11" s="18"/>
      <c r="F11" s="86" t="s">
        <v>25</v>
      </c>
      <c r="G11" s="17"/>
      <c r="H11" s="19"/>
      <c r="I11" s="19">
        <f>B2</f>
        <v>8.25</v>
      </c>
    </row>
    <row r="12" spans="4:9" ht="12.75">
      <c r="D12" s="18"/>
      <c r="E12" s="18"/>
      <c r="F12" s="86" t="s">
        <v>26</v>
      </c>
      <c r="G12" s="17"/>
      <c r="H12" s="19"/>
      <c r="I12" s="19">
        <f>SUM(H9:H10)-I11</f>
        <v>100</v>
      </c>
    </row>
    <row r="13" spans="4:9" ht="25.5">
      <c r="D13" s="18"/>
      <c r="E13" s="18"/>
      <c r="F13" s="97" t="s">
        <v>27</v>
      </c>
      <c r="G13" s="17"/>
      <c r="H13" s="19"/>
      <c r="I13" s="19"/>
    </row>
  </sheetData>
  <mergeCells count="1">
    <mergeCell ref="D7:E7"/>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5">
    <tabColor indexed="41"/>
  </sheetPr>
  <dimension ref="A1:H11"/>
  <sheetViews>
    <sheetView showGridLines="0" workbookViewId="0" topLeftCell="A1">
      <selection activeCell="A1" sqref="A1"/>
    </sheetView>
  </sheetViews>
  <sheetFormatPr defaultColWidth="9.140625" defaultRowHeight="12.75"/>
  <cols>
    <col min="1" max="1" width="4.00390625" style="13" bestFit="1" customWidth="1"/>
    <col min="2" max="2" width="14.57421875" style="13" bestFit="1" customWidth="1"/>
    <col min="3" max="3" width="7.57421875" style="13" bestFit="1" customWidth="1"/>
    <col min="4" max="4" width="4.00390625" style="13" bestFit="1" customWidth="1"/>
    <col min="5" max="5" width="48.00390625" style="13" bestFit="1" customWidth="1"/>
    <col min="6" max="6" width="5.421875" style="13" hidden="1" customWidth="1"/>
    <col min="7" max="8" width="7.140625" style="13" bestFit="1" customWidth="1"/>
    <col min="9" max="16384" width="9.140625" style="13" customWidth="1"/>
  </cols>
  <sheetData>
    <row r="1" spans="2:3" ht="12.75">
      <c r="B1" s="13" t="s">
        <v>87</v>
      </c>
      <c r="C1" s="99"/>
    </row>
    <row r="2" spans="1:3" ht="25.5">
      <c r="A2" s="98">
        <v>0.01</v>
      </c>
      <c r="B2" s="15" t="s">
        <v>88</v>
      </c>
      <c r="C2" s="99"/>
    </row>
    <row r="4" spans="2:3" ht="12.75">
      <c r="B4" s="13" t="s">
        <v>89</v>
      </c>
      <c r="C4" s="99"/>
    </row>
    <row r="5" spans="3:8" ht="25.5">
      <c r="C5" s="217" t="s">
        <v>17</v>
      </c>
      <c r="D5" s="217"/>
      <c r="E5" s="17" t="s">
        <v>18</v>
      </c>
      <c r="F5" s="88" t="s">
        <v>19</v>
      </c>
      <c r="G5" s="19" t="s">
        <v>20</v>
      </c>
      <c r="H5" s="19" t="s">
        <v>21</v>
      </c>
    </row>
    <row r="6" spans="3:8" ht="12.75">
      <c r="C6" s="18">
        <v>2003</v>
      </c>
      <c r="D6" s="18"/>
      <c r="E6" s="17"/>
      <c r="F6" s="17"/>
      <c r="G6" s="19"/>
      <c r="H6" s="19"/>
    </row>
    <row r="7" spans="3:8" ht="12.75">
      <c r="C7" s="18" t="s">
        <v>22</v>
      </c>
      <c r="D7" s="18">
        <v>28</v>
      </c>
      <c r="E7" s="17" t="s">
        <v>90</v>
      </c>
      <c r="F7" s="17"/>
      <c r="G7" s="100"/>
      <c r="H7" s="104"/>
    </row>
    <row r="8" spans="3:8" ht="12.75">
      <c r="C8" s="18"/>
      <c r="D8" s="18"/>
      <c r="E8" s="86" t="s">
        <v>91</v>
      </c>
      <c r="F8" s="17"/>
      <c r="G8" s="104"/>
      <c r="H8" s="100"/>
    </row>
    <row r="9" spans="3:8" ht="12.75">
      <c r="C9" s="18"/>
      <c r="D9" s="18"/>
      <c r="E9" s="86" t="s">
        <v>23</v>
      </c>
      <c r="F9" s="17"/>
      <c r="G9" s="104"/>
      <c r="H9" s="100"/>
    </row>
    <row r="10" spans="3:8" ht="12.75">
      <c r="C10" s="18"/>
      <c r="D10" s="18"/>
      <c r="E10" s="20" t="s">
        <v>92</v>
      </c>
      <c r="F10" s="17"/>
      <c r="G10" s="19"/>
      <c r="H10" s="19"/>
    </row>
    <row r="11" spans="3:8" ht="12.75">
      <c r="C11" s="18"/>
      <c r="D11" s="18"/>
      <c r="E11" s="17"/>
      <c r="F11" s="17"/>
      <c r="G11" s="19"/>
      <c r="H11" s="19"/>
    </row>
  </sheetData>
  <mergeCells count="1">
    <mergeCell ref="C5:D5"/>
  </mergeCells>
  <printOptions/>
  <pageMargins left="0.75" right="0.75" top="1" bottom="1" header="0.5" footer="0.5"/>
  <pageSetup horizontalDpi="600" verticalDpi="600" orientation="portrait" r:id="rId1"/>
</worksheet>
</file>

<file path=xl/worksheets/sheet40.xml><?xml version="1.0" encoding="utf-8"?>
<worksheet xmlns="http://schemas.openxmlformats.org/spreadsheetml/2006/main" xmlns:r="http://schemas.openxmlformats.org/officeDocument/2006/relationships">
  <sheetPr codeName="Sheet8">
    <tabColor indexed="41"/>
  </sheetPr>
  <dimension ref="A1:H11"/>
  <sheetViews>
    <sheetView showGridLines="0" workbookViewId="0" topLeftCell="A1">
      <selection activeCell="D29" sqref="D29:F30"/>
    </sheetView>
  </sheetViews>
  <sheetFormatPr defaultColWidth="9.140625" defaultRowHeight="12.75"/>
  <cols>
    <col min="1" max="1" width="4.00390625" style="13" bestFit="1" customWidth="1"/>
    <col min="2" max="2" width="14.57421875" style="13" bestFit="1" customWidth="1"/>
    <col min="3" max="3" width="7.57421875" style="13" bestFit="1" customWidth="1"/>
    <col min="4" max="4" width="4.00390625" style="13" bestFit="1" customWidth="1"/>
    <col min="5" max="5" width="48.00390625" style="13" bestFit="1" customWidth="1"/>
    <col min="6" max="6" width="5.421875" style="13" hidden="1" customWidth="1"/>
    <col min="7" max="8" width="7.140625" style="13" bestFit="1" customWidth="1"/>
    <col min="9" max="16384" width="9.140625" style="13" customWidth="1"/>
  </cols>
  <sheetData>
    <row r="1" spans="2:3" ht="12.75">
      <c r="B1" s="13" t="s">
        <v>87</v>
      </c>
      <c r="C1" s="82">
        <v>450</v>
      </c>
    </row>
    <row r="2" spans="1:3" ht="25.5">
      <c r="A2" s="98">
        <v>0.01</v>
      </c>
      <c r="B2" s="15" t="s">
        <v>88</v>
      </c>
      <c r="C2" s="83">
        <f>C1*A2</f>
        <v>4.5</v>
      </c>
    </row>
    <row r="4" spans="2:3" ht="12.75">
      <c r="B4" s="13" t="s">
        <v>89</v>
      </c>
      <c r="C4" s="82">
        <f>C1-C2</f>
        <v>445.5</v>
      </c>
    </row>
    <row r="5" spans="3:8" ht="25.5">
      <c r="C5" s="217" t="s">
        <v>17</v>
      </c>
      <c r="D5" s="217"/>
      <c r="E5" s="17" t="s">
        <v>18</v>
      </c>
      <c r="F5" s="88" t="s">
        <v>19</v>
      </c>
      <c r="G5" s="19" t="s">
        <v>20</v>
      </c>
      <c r="H5" s="19" t="s">
        <v>21</v>
      </c>
    </row>
    <row r="6" spans="3:8" ht="12.75">
      <c r="C6" s="18">
        <v>2003</v>
      </c>
      <c r="D6" s="18"/>
      <c r="E6" s="17"/>
      <c r="F6" s="17"/>
      <c r="G6" s="19"/>
      <c r="H6" s="19"/>
    </row>
    <row r="7" spans="3:8" ht="12.75">
      <c r="C7" s="18" t="s">
        <v>22</v>
      </c>
      <c r="D7" s="18">
        <v>28</v>
      </c>
      <c r="E7" s="17" t="s">
        <v>90</v>
      </c>
      <c r="F7" s="17"/>
      <c r="G7" s="19">
        <f>C1</f>
        <v>450</v>
      </c>
      <c r="H7" s="19"/>
    </row>
    <row r="8" spans="3:8" ht="12.75">
      <c r="C8" s="18"/>
      <c r="D8" s="18"/>
      <c r="E8" s="86" t="s">
        <v>91</v>
      </c>
      <c r="F8" s="17"/>
      <c r="G8" s="19"/>
      <c r="H8" s="19">
        <f>C2</f>
        <v>4.5</v>
      </c>
    </row>
    <row r="9" spans="3:8" ht="12.75">
      <c r="C9" s="18"/>
      <c r="D9" s="18"/>
      <c r="E9" s="86" t="s">
        <v>23</v>
      </c>
      <c r="F9" s="17"/>
      <c r="G9" s="19"/>
      <c r="H9" s="19">
        <f>C4</f>
        <v>445.5</v>
      </c>
    </row>
    <row r="10" spans="3:8" ht="12.75">
      <c r="C10" s="18"/>
      <c r="D10" s="18"/>
      <c r="E10" s="20" t="s">
        <v>92</v>
      </c>
      <c r="F10" s="17"/>
      <c r="G10" s="19"/>
      <c r="H10" s="19"/>
    </row>
    <row r="11" spans="3:8" ht="12.75">
      <c r="C11" s="18"/>
      <c r="D11" s="18"/>
      <c r="E11" s="17"/>
      <c r="F11" s="17"/>
      <c r="G11" s="19"/>
      <c r="H11" s="19"/>
    </row>
  </sheetData>
  <mergeCells count="1">
    <mergeCell ref="C5:D5"/>
  </mergeCells>
  <printOptions/>
  <pageMargins left="0.75" right="0.75" top="1" bottom="1" header="0.5" footer="0.5"/>
  <pageSetup horizontalDpi="600" verticalDpi="600" orientation="portrait" r:id="rId1"/>
</worksheet>
</file>

<file path=xl/worksheets/sheet41.xml><?xml version="1.0" encoding="utf-8"?>
<worksheet xmlns="http://schemas.openxmlformats.org/spreadsheetml/2006/main" xmlns:r="http://schemas.openxmlformats.org/officeDocument/2006/relationships">
  <sheetPr codeName="Sheet9">
    <tabColor indexed="44"/>
  </sheetPr>
  <dimension ref="A1:H11"/>
  <sheetViews>
    <sheetView showGridLines="0" workbookViewId="0" topLeftCell="A1">
      <selection activeCell="D29" sqref="D29:F30"/>
    </sheetView>
  </sheetViews>
  <sheetFormatPr defaultColWidth="9.140625" defaultRowHeight="12.75"/>
  <cols>
    <col min="1" max="1" width="4.00390625" style="13" bestFit="1" customWidth="1"/>
    <col min="2" max="2" width="15.8515625" style="13" bestFit="1" customWidth="1"/>
    <col min="3" max="3" width="7.57421875" style="13" bestFit="1" customWidth="1"/>
    <col min="4" max="4" width="3.00390625" style="13" bestFit="1" customWidth="1"/>
    <col min="5" max="5" width="48.00390625" style="13" bestFit="1" customWidth="1"/>
    <col min="6" max="6" width="5.421875" style="13" hidden="1" customWidth="1"/>
    <col min="7" max="8" width="7.140625" style="13" bestFit="1" customWidth="1"/>
    <col min="9" max="16384" width="9.140625" style="13" customWidth="1"/>
  </cols>
  <sheetData>
    <row r="1" spans="2:3" ht="12.75">
      <c r="B1" s="13" t="s">
        <v>87</v>
      </c>
      <c r="C1" s="99">
        <v>250</v>
      </c>
    </row>
    <row r="2" spans="1:3" ht="25.5">
      <c r="A2" s="98">
        <v>0.02</v>
      </c>
      <c r="B2" s="15" t="s">
        <v>104</v>
      </c>
      <c r="C2" s="99">
        <f>C1*A2</f>
        <v>5</v>
      </c>
    </row>
    <row r="4" spans="2:3" ht="12.75">
      <c r="B4" s="13" t="s">
        <v>105</v>
      </c>
      <c r="C4" s="99">
        <f>C1-C2</f>
        <v>245</v>
      </c>
    </row>
    <row r="5" spans="3:8" ht="25.5">
      <c r="C5" s="217" t="s">
        <v>17</v>
      </c>
      <c r="D5" s="217"/>
      <c r="E5" s="17" t="s">
        <v>18</v>
      </c>
      <c r="F5" s="88" t="s">
        <v>19</v>
      </c>
      <c r="G5" s="19" t="s">
        <v>20</v>
      </c>
      <c r="H5" s="19" t="s">
        <v>21</v>
      </c>
    </row>
    <row r="6" spans="3:8" ht="12.75">
      <c r="C6" s="18">
        <v>2003</v>
      </c>
      <c r="D6" s="18"/>
      <c r="E6" s="17"/>
      <c r="F6" s="17"/>
      <c r="G6" s="19"/>
      <c r="H6" s="19"/>
    </row>
    <row r="7" spans="3:8" ht="12.75">
      <c r="C7" s="18" t="s">
        <v>22</v>
      </c>
      <c r="D7" s="18">
        <v>27</v>
      </c>
      <c r="E7" s="17" t="s">
        <v>23</v>
      </c>
      <c r="F7" s="17"/>
      <c r="G7" s="100">
        <f>C4</f>
        <v>245</v>
      </c>
      <c r="H7" s="19"/>
    </row>
    <row r="8" spans="3:8" ht="12.75">
      <c r="C8" s="18"/>
      <c r="D8" s="18"/>
      <c r="E8" s="87" t="s">
        <v>47</v>
      </c>
      <c r="F8" s="17"/>
      <c r="G8" s="100">
        <f>C2</f>
        <v>5</v>
      </c>
      <c r="H8" s="19"/>
    </row>
    <row r="9" spans="3:8" ht="12.75">
      <c r="C9" s="18"/>
      <c r="D9" s="18"/>
      <c r="E9" s="86" t="s">
        <v>106</v>
      </c>
      <c r="F9" s="17"/>
      <c r="G9" s="19"/>
      <c r="H9" s="100">
        <f>SUM(G7:G8)</f>
        <v>250</v>
      </c>
    </row>
    <row r="10" spans="3:8" ht="12.75">
      <c r="C10" s="18"/>
      <c r="D10" s="18"/>
      <c r="E10" s="20" t="s">
        <v>107</v>
      </c>
      <c r="F10" s="17"/>
      <c r="G10" s="19"/>
      <c r="H10" s="19"/>
    </row>
    <row r="11" spans="3:8" ht="12.75">
      <c r="C11" s="18"/>
      <c r="D11" s="18"/>
      <c r="E11" s="17"/>
      <c r="F11" s="17"/>
      <c r="G11" s="19"/>
      <c r="H11" s="19"/>
    </row>
  </sheetData>
  <mergeCells count="1">
    <mergeCell ref="C5:D5"/>
  </mergeCells>
  <printOptions/>
  <pageMargins left="0.75" right="0.75" top="1" bottom="1" header="0.5" footer="0.5"/>
  <pageSetup horizontalDpi="600" verticalDpi="600" orientation="portrait" r:id="rId1"/>
</worksheet>
</file>

<file path=xl/worksheets/sheet42.xml><?xml version="1.0" encoding="utf-8"?>
<worksheet xmlns="http://schemas.openxmlformats.org/spreadsheetml/2006/main" xmlns:r="http://schemas.openxmlformats.org/officeDocument/2006/relationships">
  <sheetPr codeName="Sheet10">
    <tabColor indexed="42"/>
  </sheetPr>
  <dimension ref="A1:F15"/>
  <sheetViews>
    <sheetView showGridLines="0" workbookViewId="0" topLeftCell="A1">
      <selection activeCell="D29" sqref="D29:F30"/>
    </sheetView>
  </sheetViews>
  <sheetFormatPr defaultColWidth="9.140625" defaultRowHeight="12.75"/>
  <cols>
    <col min="1" max="1" width="6.421875" style="13" bestFit="1" customWidth="1"/>
    <col min="2" max="2" width="3.140625" style="13" customWidth="1"/>
    <col min="3" max="3" width="48.00390625" style="13" bestFit="1" customWidth="1"/>
    <col min="4" max="4" width="5.421875" style="13" hidden="1" customWidth="1"/>
    <col min="5" max="6" width="7.28125" style="13" bestFit="1" customWidth="1"/>
    <col min="7" max="7" width="5.421875" style="13" hidden="1" customWidth="1"/>
    <col min="8" max="9" width="7.140625" style="13" bestFit="1" customWidth="1"/>
    <col min="10" max="16384" width="9.140625" style="13" customWidth="1"/>
  </cols>
  <sheetData>
    <row r="1" spans="1:6" ht="16.5" customHeight="1">
      <c r="A1" s="217" t="s">
        <v>17</v>
      </c>
      <c r="B1" s="217"/>
      <c r="C1" s="17" t="s">
        <v>18</v>
      </c>
      <c r="D1" s="84" t="s">
        <v>19</v>
      </c>
      <c r="E1" s="19" t="s">
        <v>20</v>
      </c>
      <c r="F1" s="19" t="s">
        <v>21</v>
      </c>
    </row>
    <row r="2" spans="1:6" ht="12.75">
      <c r="A2" s="85">
        <v>2001</v>
      </c>
      <c r="B2" s="18"/>
      <c r="C2" s="17"/>
      <c r="D2" s="17"/>
      <c r="E2" s="19"/>
      <c r="F2" s="19"/>
    </row>
    <row r="3" spans="1:6" ht="12.75">
      <c r="A3" s="18" t="s">
        <v>108</v>
      </c>
      <c r="B3" s="18">
        <v>15</v>
      </c>
      <c r="C3" s="17" t="s">
        <v>23</v>
      </c>
      <c r="D3" s="17"/>
      <c r="E3" s="100">
        <v>600</v>
      </c>
      <c r="F3" s="19"/>
    </row>
    <row r="4" spans="1:6" ht="12.75">
      <c r="A4" s="18"/>
      <c r="B4" s="18"/>
      <c r="C4" s="86" t="s">
        <v>109</v>
      </c>
      <c r="D4" s="17"/>
      <c r="E4" s="19"/>
      <c r="F4" s="100">
        <v>600</v>
      </c>
    </row>
    <row r="5" spans="1:6" ht="12.75">
      <c r="A5" s="18"/>
      <c r="B5" s="18"/>
      <c r="C5" s="20" t="s">
        <v>113</v>
      </c>
      <c r="D5" s="17"/>
      <c r="E5" s="19"/>
      <c r="F5" s="19"/>
    </row>
    <row r="6" spans="1:6" ht="12.75">
      <c r="A6" s="18"/>
      <c r="B6" s="18"/>
      <c r="C6" s="17"/>
      <c r="D6" s="17"/>
      <c r="E6" s="19"/>
      <c r="F6" s="19"/>
    </row>
    <row r="7" spans="1:6" ht="12.75">
      <c r="A7" s="18"/>
      <c r="B7" s="18"/>
      <c r="C7" s="17"/>
      <c r="D7" s="17"/>
      <c r="E7" s="19"/>
      <c r="F7" s="19"/>
    </row>
    <row r="9" spans="1:6" ht="22.5">
      <c r="A9" s="217" t="s">
        <v>17</v>
      </c>
      <c r="B9" s="217"/>
      <c r="C9" s="17" t="s">
        <v>18</v>
      </c>
      <c r="D9" s="84" t="s">
        <v>19</v>
      </c>
      <c r="E9" s="19" t="s">
        <v>20</v>
      </c>
      <c r="F9" s="19" t="s">
        <v>21</v>
      </c>
    </row>
    <row r="10" spans="1:6" ht="12.75">
      <c r="A10" s="85">
        <v>2002</v>
      </c>
      <c r="B10" s="18"/>
      <c r="C10" s="17"/>
      <c r="D10" s="17"/>
      <c r="E10" s="19"/>
      <c r="F10" s="19"/>
    </row>
    <row r="11" spans="1:6" ht="12.75">
      <c r="A11" s="18" t="s">
        <v>108</v>
      </c>
      <c r="B11" s="18">
        <v>15</v>
      </c>
      <c r="C11" s="17" t="s">
        <v>109</v>
      </c>
      <c r="D11" s="17"/>
      <c r="E11" s="100">
        <v>600</v>
      </c>
      <c r="F11" s="19"/>
    </row>
    <row r="12" spans="1:6" ht="12.75">
      <c r="A12" s="18"/>
      <c r="B12" s="18"/>
      <c r="C12" s="87" t="s">
        <v>110</v>
      </c>
      <c r="D12" s="17"/>
      <c r="E12" s="100">
        <v>60</v>
      </c>
      <c r="F12" s="19"/>
    </row>
    <row r="13" spans="1:6" ht="12.75">
      <c r="A13" s="18"/>
      <c r="B13" s="18"/>
      <c r="C13" s="86" t="s">
        <v>23</v>
      </c>
      <c r="D13" s="17"/>
      <c r="E13" s="19"/>
      <c r="F13" s="100">
        <f>SUM(E11:E12)</f>
        <v>660</v>
      </c>
    </row>
    <row r="14" spans="1:6" ht="12.75">
      <c r="A14" s="18"/>
      <c r="B14" s="18"/>
      <c r="C14" s="20" t="s">
        <v>111</v>
      </c>
      <c r="D14" s="17"/>
      <c r="E14" s="19"/>
      <c r="F14" s="19"/>
    </row>
    <row r="15" spans="1:6" ht="12.75">
      <c r="A15" s="18"/>
      <c r="B15" s="18"/>
      <c r="C15" s="17"/>
      <c r="D15" s="17"/>
      <c r="E15" s="19"/>
      <c r="F15" s="19"/>
    </row>
  </sheetData>
  <mergeCells count="2">
    <mergeCell ref="A9:B9"/>
    <mergeCell ref="A1:B1"/>
  </mergeCells>
  <printOptions/>
  <pageMargins left="0.75" right="0.75" top="1" bottom="1" header="0.5" footer="0.5"/>
  <pageSetup horizontalDpi="600" verticalDpi="600" orientation="portrait" r:id="rId1"/>
</worksheet>
</file>

<file path=xl/worksheets/sheet43.xml><?xml version="1.0" encoding="utf-8"?>
<worksheet xmlns="http://schemas.openxmlformats.org/spreadsheetml/2006/main" xmlns:r="http://schemas.openxmlformats.org/officeDocument/2006/relationships">
  <sheetPr>
    <tabColor indexed="8"/>
  </sheetPr>
  <dimension ref="A1:A1"/>
  <sheetViews>
    <sheetView workbookViewId="0" topLeftCell="A1">
      <selection activeCell="D29" sqref="D29:F30"/>
    </sheetView>
  </sheetViews>
  <sheetFormatPr defaultColWidth="9.140625" defaultRowHeight="12.75"/>
  <sheetData/>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sheetPr>
    <tabColor indexed="10"/>
  </sheetPr>
  <dimension ref="A1:L99"/>
  <sheetViews>
    <sheetView zoomScale="70" zoomScaleNormal="70" workbookViewId="0" topLeftCell="A1">
      <selection activeCell="D29" sqref="D29:F30"/>
    </sheetView>
  </sheetViews>
  <sheetFormatPr defaultColWidth="9.140625" defaultRowHeight="12.75"/>
  <cols>
    <col min="1" max="1" width="13.8515625" style="0" bestFit="1" customWidth="1"/>
    <col min="3" max="3" width="31.140625" style="0" bestFit="1" customWidth="1"/>
    <col min="4" max="5" width="10.57421875" style="0" bestFit="1" customWidth="1"/>
    <col min="6" max="6" width="18.140625" style="0" bestFit="1" customWidth="1"/>
    <col min="7" max="7" width="25.8515625" style="0" bestFit="1" customWidth="1"/>
    <col min="8" max="8" width="16.421875" style="0" customWidth="1"/>
    <col min="9" max="9" width="2.8515625" style="0" customWidth="1"/>
    <col min="10" max="10" width="20.140625" style="0" bestFit="1" customWidth="1"/>
    <col min="12" max="12" width="32.421875" style="0" bestFit="1" customWidth="1"/>
  </cols>
  <sheetData>
    <row r="1" spans="1:12" ht="15.75">
      <c r="A1" s="105" t="s">
        <v>114</v>
      </c>
      <c r="B1" s="105"/>
      <c r="C1" s="105"/>
      <c r="D1" s="105"/>
      <c r="E1" s="105"/>
      <c r="H1" s="106"/>
      <c r="J1" s="106"/>
      <c r="L1" s="106"/>
    </row>
    <row r="2" spans="1:12" ht="12.75">
      <c r="A2" s="107" t="s">
        <v>115</v>
      </c>
      <c r="B2" s="107" t="s">
        <v>116</v>
      </c>
      <c r="C2" s="107" t="s">
        <v>117</v>
      </c>
      <c r="D2" s="107" t="s">
        <v>38</v>
      </c>
      <c r="E2" s="107" t="s">
        <v>39</v>
      </c>
      <c r="H2" s="106"/>
      <c r="J2" s="106"/>
      <c r="L2" s="106"/>
    </row>
    <row r="3" spans="1:12" ht="12.75">
      <c r="A3" s="257" t="s">
        <v>28</v>
      </c>
      <c r="B3" s="108">
        <v>111</v>
      </c>
      <c r="C3" s="108" t="s">
        <v>23</v>
      </c>
      <c r="D3" s="109">
        <v>8740</v>
      </c>
      <c r="E3" s="110"/>
      <c r="H3" s="106"/>
      <c r="J3" s="106"/>
      <c r="L3" s="106"/>
    </row>
    <row r="4" spans="1:12" ht="12.75">
      <c r="A4" s="257"/>
      <c r="B4" s="108">
        <v>113</v>
      </c>
      <c r="C4" s="108" t="s">
        <v>118</v>
      </c>
      <c r="D4" s="111">
        <f>SUM(G54:G60)</f>
        <v>1650</v>
      </c>
      <c r="E4" s="110"/>
      <c r="H4" s="106"/>
      <c r="J4" s="106"/>
      <c r="L4" s="106"/>
    </row>
    <row r="5" spans="1:12" ht="12.75">
      <c r="A5" s="257"/>
      <c r="B5" s="108">
        <v>114</v>
      </c>
      <c r="C5" s="108" t="s">
        <v>119</v>
      </c>
      <c r="D5" s="109">
        <v>20584</v>
      </c>
      <c r="E5" s="110"/>
      <c r="H5" s="106"/>
      <c r="J5" s="106"/>
      <c r="L5" s="106"/>
    </row>
    <row r="6" spans="1:12" ht="12.75">
      <c r="A6" s="257"/>
      <c r="B6" s="108">
        <v>115</v>
      </c>
      <c r="C6" s="108" t="s">
        <v>120</v>
      </c>
      <c r="D6" s="109">
        <v>592</v>
      </c>
      <c r="E6" s="110"/>
      <c r="H6" s="106"/>
      <c r="J6" s="106"/>
      <c r="L6" s="106"/>
    </row>
    <row r="7" spans="1:12" ht="12.75">
      <c r="A7" s="257"/>
      <c r="B7" s="108">
        <v>116</v>
      </c>
      <c r="C7" s="108" t="s">
        <v>121</v>
      </c>
      <c r="D7" s="109">
        <v>390</v>
      </c>
      <c r="E7" s="110"/>
      <c r="H7" s="106"/>
      <c r="J7" s="106"/>
      <c r="L7" s="106"/>
    </row>
    <row r="8" spans="1:12" ht="12.75">
      <c r="A8" s="257"/>
      <c r="B8" s="108">
        <v>121</v>
      </c>
      <c r="C8" s="108" t="s">
        <v>122</v>
      </c>
      <c r="D8" s="109">
        <v>3644</v>
      </c>
      <c r="E8" s="110"/>
      <c r="H8" s="106"/>
      <c r="J8" s="106"/>
      <c r="L8" s="106"/>
    </row>
    <row r="9" spans="1:12" ht="12.75">
      <c r="A9" s="257" t="s">
        <v>30</v>
      </c>
      <c r="B9" s="108">
        <v>212</v>
      </c>
      <c r="C9" s="108" t="s">
        <v>123</v>
      </c>
      <c r="D9" s="110"/>
      <c r="E9" s="109">
        <f>SUM(K54:K60)</f>
        <v>600</v>
      </c>
      <c r="H9" s="106"/>
      <c r="J9" s="106"/>
      <c r="L9" s="106"/>
    </row>
    <row r="10" spans="1:12" ht="12.75">
      <c r="A10" s="257"/>
      <c r="B10" s="108">
        <v>215</v>
      </c>
      <c r="C10" s="108" t="s">
        <v>124</v>
      </c>
      <c r="D10" s="110"/>
      <c r="E10" s="110"/>
      <c r="H10" s="106"/>
      <c r="J10" s="106"/>
      <c r="L10" s="106"/>
    </row>
    <row r="11" spans="1:12" ht="12.75">
      <c r="A11" s="257"/>
      <c r="B11" s="108">
        <v>216</v>
      </c>
      <c r="C11" s="108" t="s">
        <v>125</v>
      </c>
      <c r="D11" s="110"/>
      <c r="E11" s="110"/>
      <c r="H11" s="106"/>
      <c r="J11" s="106"/>
      <c r="L11" s="106"/>
    </row>
    <row r="12" spans="1:12" ht="12.75">
      <c r="A12" s="257"/>
      <c r="B12" s="108">
        <v>217</v>
      </c>
      <c r="C12" s="108" t="s">
        <v>126</v>
      </c>
      <c r="D12" s="110"/>
      <c r="E12" s="110"/>
      <c r="H12" s="106"/>
      <c r="J12" s="106"/>
      <c r="L12" s="106"/>
    </row>
    <row r="13" spans="1:12" ht="12.75">
      <c r="A13" s="257"/>
      <c r="B13" s="108">
        <v>218</v>
      </c>
      <c r="C13" s="108" t="s">
        <v>127</v>
      </c>
      <c r="D13" s="110"/>
      <c r="E13" s="110"/>
      <c r="H13" s="106"/>
      <c r="J13" s="106"/>
      <c r="L13" s="106"/>
    </row>
    <row r="14" spans="1:12" ht="12.75">
      <c r="A14" s="257"/>
      <c r="B14" s="108">
        <v>219</v>
      </c>
      <c r="C14" s="108" t="s">
        <v>128</v>
      </c>
      <c r="D14" s="110"/>
      <c r="E14" s="110"/>
      <c r="H14" s="106"/>
      <c r="J14" s="106"/>
      <c r="L14" s="106"/>
    </row>
    <row r="15" spans="1:12" ht="12.75">
      <c r="A15" s="257" t="s">
        <v>129</v>
      </c>
      <c r="B15" s="108">
        <v>311</v>
      </c>
      <c r="C15" s="112" t="str">
        <f>LEFT($G$36,1)&amp;". "&amp;$G$35&amp;", Capital"</f>
        <v>J. Hammonds, Capital</v>
      </c>
      <c r="D15" s="110"/>
      <c r="E15" s="109">
        <f>SUM(D3:D8)-E9</f>
        <v>35000</v>
      </c>
      <c r="G15" s="113"/>
      <c r="H15" s="106"/>
      <c r="J15" s="106"/>
      <c r="L15" s="106"/>
    </row>
    <row r="16" spans="1:12" ht="12.75">
      <c r="A16" s="257"/>
      <c r="B16" s="108">
        <v>312</v>
      </c>
      <c r="C16" s="112" t="str">
        <f>LEFT($G$36,1)&amp;". "&amp;$G$35&amp;", Drawing"</f>
        <v>J. Hammonds, Drawing</v>
      </c>
      <c r="D16" s="110"/>
      <c r="E16" s="110"/>
      <c r="H16" s="106"/>
      <c r="J16" s="106"/>
      <c r="L16" s="106"/>
    </row>
    <row r="17" spans="1:12" ht="12.75">
      <c r="A17" s="257" t="s">
        <v>33</v>
      </c>
      <c r="B17" s="108">
        <v>411</v>
      </c>
      <c r="C17" s="108" t="s">
        <v>42</v>
      </c>
      <c r="D17" s="110"/>
      <c r="E17" s="110"/>
      <c r="H17" s="106"/>
      <c r="J17" s="106"/>
      <c r="L17" s="106"/>
    </row>
    <row r="18" spans="1:12" ht="12.75">
      <c r="A18" s="257"/>
      <c r="B18" s="108">
        <v>412</v>
      </c>
      <c r="C18" s="108" t="s">
        <v>130</v>
      </c>
      <c r="D18" s="110"/>
      <c r="E18" s="110"/>
      <c r="H18" s="106"/>
      <c r="J18" s="106"/>
      <c r="L18" s="106"/>
    </row>
    <row r="19" spans="1:12" ht="12.75">
      <c r="A19" s="257"/>
      <c r="B19" s="108">
        <v>413</v>
      </c>
      <c r="C19" s="108" t="s">
        <v>131</v>
      </c>
      <c r="D19" s="110"/>
      <c r="E19" s="110"/>
      <c r="H19" s="106"/>
      <c r="J19" s="106"/>
      <c r="L19" s="106"/>
    </row>
    <row r="20" spans="1:12" ht="12.75">
      <c r="A20" s="257" t="s">
        <v>35</v>
      </c>
      <c r="B20" s="108">
        <v>511</v>
      </c>
      <c r="C20" s="108" t="s">
        <v>43</v>
      </c>
      <c r="D20" s="110"/>
      <c r="E20" s="110"/>
      <c r="H20" s="106"/>
      <c r="J20" s="106"/>
      <c r="L20" s="106"/>
    </row>
    <row r="21" spans="1:12" ht="12.75">
      <c r="A21" s="257"/>
      <c r="B21" s="108">
        <v>512</v>
      </c>
      <c r="C21" s="108" t="s">
        <v>132</v>
      </c>
      <c r="D21" s="110"/>
      <c r="E21" s="110"/>
      <c r="H21" s="106"/>
      <c r="J21" s="106"/>
      <c r="L21" s="106"/>
    </row>
    <row r="22" spans="1:12" ht="12.75">
      <c r="A22" s="257"/>
      <c r="B22" s="108">
        <v>513</v>
      </c>
      <c r="C22" s="108" t="s">
        <v>133</v>
      </c>
      <c r="D22" s="110"/>
      <c r="E22" s="110"/>
      <c r="H22" s="106"/>
      <c r="J22" s="106"/>
      <c r="L22" s="106"/>
    </row>
    <row r="23" spans="1:12" ht="12.75">
      <c r="A23" s="257"/>
      <c r="B23" s="108">
        <v>514</v>
      </c>
      <c r="C23" s="108" t="s">
        <v>49</v>
      </c>
      <c r="D23" s="110"/>
      <c r="E23" s="110"/>
      <c r="H23" s="106"/>
      <c r="J23" s="106"/>
      <c r="L23" s="106"/>
    </row>
    <row r="24" spans="1:12" ht="12.75">
      <c r="A24" s="257"/>
      <c r="B24" s="108">
        <v>521</v>
      </c>
      <c r="C24" s="108" t="s">
        <v>134</v>
      </c>
      <c r="D24" s="110"/>
      <c r="E24" s="110"/>
      <c r="H24" s="106"/>
      <c r="J24" s="106"/>
      <c r="L24" s="106"/>
    </row>
    <row r="25" spans="1:12" ht="12.75">
      <c r="A25" s="257"/>
      <c r="B25" s="108">
        <v>522</v>
      </c>
      <c r="C25" s="108" t="s">
        <v>135</v>
      </c>
      <c r="D25" s="110"/>
      <c r="E25" s="110"/>
      <c r="H25" s="106"/>
      <c r="J25" s="106"/>
      <c r="L25" s="106"/>
    </row>
    <row r="26" spans="1:12" ht="12.75">
      <c r="A26" s="257"/>
      <c r="B26" s="108">
        <v>527</v>
      </c>
      <c r="C26" s="108" t="s">
        <v>136</v>
      </c>
      <c r="D26" s="110"/>
      <c r="E26" s="110"/>
      <c r="H26" s="106"/>
      <c r="J26" s="106"/>
      <c r="L26" s="106"/>
    </row>
    <row r="27" spans="1:12" ht="12.75">
      <c r="A27" s="257"/>
      <c r="B27" s="108">
        <v>531</v>
      </c>
      <c r="C27" s="108" t="s">
        <v>137</v>
      </c>
      <c r="D27" s="110"/>
      <c r="E27" s="110"/>
      <c r="H27" s="106"/>
      <c r="J27" s="106"/>
      <c r="L27" s="106"/>
    </row>
    <row r="28" spans="2:12" ht="13.5" thickBot="1">
      <c r="B28" s="114"/>
      <c r="D28" s="115">
        <f>SUM(D3:D27)</f>
        <v>35600</v>
      </c>
      <c r="E28" s="115">
        <f>SUM(E3:E27)</f>
        <v>35600</v>
      </c>
      <c r="H28" s="106"/>
      <c r="J28" s="106"/>
      <c r="L28" s="106"/>
    </row>
    <row r="29" spans="2:12" ht="13.5" thickTop="1">
      <c r="B29" s="114"/>
      <c r="D29" s="116"/>
      <c r="E29" s="116"/>
      <c r="F29" s="107" t="s">
        <v>138</v>
      </c>
      <c r="G29" s="117">
        <v>38718</v>
      </c>
      <c r="H29" s="106"/>
      <c r="J29" s="106"/>
      <c r="L29" s="106"/>
    </row>
    <row r="30" spans="2:12" ht="12.75">
      <c r="B30" s="114"/>
      <c r="D30" s="116"/>
      <c r="E30" s="116"/>
      <c r="F30" s="107" t="s">
        <v>139</v>
      </c>
      <c r="G30" s="118">
        <f>DATE(YEAR(G29),MONTH(G29)+1,1)-1</f>
        <v>38748</v>
      </c>
      <c r="H30" s="106"/>
      <c r="J30" s="106"/>
      <c r="L30" s="106"/>
    </row>
    <row r="31" spans="2:12" ht="12.75">
      <c r="B31" s="114"/>
      <c r="D31" s="116"/>
      <c r="E31" s="116"/>
      <c r="F31" s="107" t="s">
        <v>140</v>
      </c>
      <c r="G31" s="119" t="str">
        <f>TEXT($G$29,"yyyy")</f>
        <v>2006</v>
      </c>
      <c r="H31" s="106"/>
      <c r="J31" s="106"/>
      <c r="L31" s="106"/>
    </row>
    <row r="32" spans="2:12" ht="12.75">
      <c r="B32" s="114"/>
      <c r="D32" s="116"/>
      <c r="E32" s="116"/>
      <c r="F32" s="107" t="s">
        <v>141</v>
      </c>
      <c r="G32" s="119" t="str">
        <f>TEXT($G$29,"mmm.")</f>
        <v>Jan.</v>
      </c>
      <c r="H32" s="106"/>
      <c r="J32" s="106"/>
      <c r="L32" s="106"/>
    </row>
    <row r="33" spans="2:12" ht="12.75">
      <c r="B33" s="114"/>
      <c r="D33" s="116"/>
      <c r="E33" s="116"/>
      <c r="F33" s="107" t="s">
        <v>142</v>
      </c>
      <c r="G33" s="119" t="str">
        <f>TEXT($G$29,"d")</f>
        <v>1</v>
      </c>
      <c r="H33" s="106"/>
      <c r="J33" s="106"/>
      <c r="L33" s="106"/>
    </row>
    <row r="34" spans="6:12" ht="12.75">
      <c r="F34" s="107" t="s">
        <v>143</v>
      </c>
      <c r="G34" s="108" t="s">
        <v>144</v>
      </c>
      <c r="H34" s="106"/>
      <c r="J34" s="106"/>
      <c r="L34" s="106"/>
    </row>
    <row r="35" spans="6:12" ht="12.75">
      <c r="F35" s="107" t="s">
        <v>145</v>
      </c>
      <c r="G35" s="108" t="s">
        <v>146</v>
      </c>
      <c r="H35" s="106"/>
      <c r="J35" s="106"/>
      <c r="L35" s="106"/>
    </row>
    <row r="36" spans="6:12" ht="12.75">
      <c r="F36" s="107" t="s">
        <v>147</v>
      </c>
      <c r="G36" s="108" t="s">
        <v>148</v>
      </c>
      <c r="H36" s="106"/>
      <c r="J36" s="106"/>
      <c r="L36" s="106"/>
    </row>
    <row r="37" spans="6:12" ht="12.75">
      <c r="F37" s="107" t="s">
        <v>149</v>
      </c>
      <c r="G37" s="107" t="str">
        <f>G36&amp;" "&amp;G35</f>
        <v>Jay Hammonds</v>
      </c>
      <c r="H37" s="106"/>
      <c r="J37" s="106"/>
      <c r="L37" s="106"/>
    </row>
    <row r="38" spans="6:12" ht="12.75">
      <c r="F38" s="107" t="s">
        <v>150</v>
      </c>
      <c r="G38" s="107" t="str">
        <f>G37&amp;" "&amp;G34</f>
        <v>Jay Hammonds Auto Supply</v>
      </c>
      <c r="H38" s="106"/>
      <c r="J38" s="106"/>
      <c r="L38" s="106"/>
    </row>
    <row r="39" spans="6:12" ht="12.75">
      <c r="F39" s="120" t="s">
        <v>151</v>
      </c>
      <c r="G39" s="120" t="s">
        <v>152</v>
      </c>
      <c r="H39" s="106"/>
      <c r="J39" s="106"/>
      <c r="L39" s="106"/>
    </row>
    <row r="40" spans="6:12" ht="12.75">
      <c r="F40" s="107"/>
      <c r="G40" s="120" t="s">
        <v>153</v>
      </c>
      <c r="H40" s="106"/>
      <c r="J40" s="106"/>
      <c r="L40" s="106"/>
    </row>
    <row r="41" spans="6:12" ht="12.75">
      <c r="F41" s="107"/>
      <c r="G41" s="120" t="s">
        <v>154</v>
      </c>
      <c r="H41" s="106"/>
      <c r="J41" s="106"/>
      <c r="L41" s="106"/>
    </row>
    <row r="42" spans="6:12" ht="12.75">
      <c r="F42" s="107"/>
      <c r="G42" s="120" t="s">
        <v>155</v>
      </c>
      <c r="H42" s="106"/>
      <c r="J42" s="106"/>
      <c r="L42" s="106"/>
    </row>
    <row r="43" spans="6:12" ht="12.75">
      <c r="F43" s="108" t="s">
        <v>156</v>
      </c>
      <c r="G43" s="108" t="s">
        <v>157</v>
      </c>
      <c r="H43" s="106"/>
      <c r="J43" s="106"/>
      <c r="L43" s="106"/>
    </row>
    <row r="44" spans="6:12" ht="12.75">
      <c r="F44" s="107"/>
      <c r="G44" s="108" t="s">
        <v>158</v>
      </c>
      <c r="H44" s="106"/>
      <c r="J44" s="106"/>
      <c r="L44" s="106"/>
    </row>
    <row r="45" spans="6:12" ht="12.75">
      <c r="F45" s="107"/>
      <c r="G45" s="108" t="s">
        <v>159</v>
      </c>
      <c r="H45" s="106"/>
      <c r="J45" s="106"/>
      <c r="L45" s="106"/>
    </row>
    <row r="46" spans="6:12" ht="12.75">
      <c r="F46" s="107"/>
      <c r="G46" s="108" t="s">
        <v>160</v>
      </c>
      <c r="H46" s="106"/>
      <c r="J46" s="106"/>
      <c r="L46" s="106"/>
    </row>
    <row r="47" spans="6:12" ht="12.75">
      <c r="F47" s="107"/>
      <c r="G47" s="108" t="s">
        <v>161</v>
      </c>
      <c r="H47" s="106"/>
      <c r="J47" s="106"/>
      <c r="L47" s="106"/>
    </row>
    <row r="48" spans="6:12" ht="12.75">
      <c r="F48" s="107"/>
      <c r="G48" s="121" t="str">
        <f>CHAR(252)</f>
        <v>ü</v>
      </c>
      <c r="H48" s="106"/>
      <c r="J48" s="106"/>
      <c r="L48" s="106"/>
    </row>
    <row r="49" spans="6:12" ht="12.75">
      <c r="F49" s="107"/>
      <c r="G49" s="108" t="s">
        <v>223</v>
      </c>
      <c r="H49" s="106"/>
      <c r="J49" s="106"/>
      <c r="L49" s="106"/>
    </row>
    <row r="50" spans="6:12" ht="12.75">
      <c r="F50" s="107"/>
      <c r="G50" s="107"/>
      <c r="H50" s="106"/>
      <c r="J50" s="106"/>
      <c r="L50" s="106"/>
    </row>
    <row r="51" spans="6:12" ht="12.75">
      <c r="F51" s="107"/>
      <c r="G51" s="107"/>
      <c r="H51" s="106"/>
      <c r="J51" s="106"/>
      <c r="L51" s="106"/>
    </row>
    <row r="52" spans="8:12" ht="12.75">
      <c r="H52" s="106"/>
      <c r="J52" s="106"/>
      <c r="L52" s="106"/>
    </row>
    <row r="53" spans="7:12" ht="12.75">
      <c r="G53" s="122" t="s">
        <v>152</v>
      </c>
      <c r="H53" s="122" t="s">
        <v>162</v>
      </c>
      <c r="J53" s="122" t="s">
        <v>163</v>
      </c>
      <c r="K53" s="122" t="s">
        <v>152</v>
      </c>
      <c r="L53" s="106"/>
    </row>
    <row r="54" spans="7:12" ht="12.75">
      <c r="G54" s="107"/>
      <c r="H54" s="108" t="s">
        <v>164</v>
      </c>
      <c r="J54" s="108" t="s">
        <v>165</v>
      </c>
      <c r="K54" s="107"/>
      <c r="L54" s="106"/>
    </row>
    <row r="55" spans="7:12" ht="12.75">
      <c r="G55" s="107"/>
      <c r="H55" s="108" t="s">
        <v>166</v>
      </c>
      <c r="J55" s="108" t="s">
        <v>167</v>
      </c>
      <c r="K55" s="107"/>
      <c r="L55" s="106"/>
    </row>
    <row r="56" spans="7:12" ht="12.75">
      <c r="G56" s="107"/>
      <c r="H56" s="108" t="s">
        <v>168</v>
      </c>
      <c r="J56" s="108" t="s">
        <v>169</v>
      </c>
      <c r="K56" s="108">
        <v>600</v>
      </c>
      <c r="L56" s="106"/>
    </row>
    <row r="57" spans="7:12" ht="12.75">
      <c r="G57" s="108">
        <v>650</v>
      </c>
      <c r="H57" s="108" t="s">
        <v>170</v>
      </c>
      <c r="J57" s="108" t="s">
        <v>171</v>
      </c>
      <c r="K57" s="107"/>
      <c r="L57" s="106"/>
    </row>
    <row r="58" spans="7:12" ht="12.75">
      <c r="G58" s="108">
        <v>1000</v>
      </c>
      <c r="H58" s="108" t="s">
        <v>172</v>
      </c>
      <c r="J58" s="107"/>
      <c r="K58" s="107"/>
      <c r="L58" s="106"/>
    </row>
    <row r="59" spans="7:12" ht="12.75">
      <c r="G59" s="107"/>
      <c r="H59" s="107"/>
      <c r="J59" s="107"/>
      <c r="K59" s="107"/>
      <c r="L59" s="106"/>
    </row>
    <row r="60" spans="7:12" ht="12.75">
      <c r="G60" s="107"/>
      <c r="H60" s="107"/>
      <c r="J60" s="107"/>
      <c r="K60" s="107"/>
      <c r="L60" s="106"/>
    </row>
    <row r="61" ht="12.75">
      <c r="L61" s="122" t="s">
        <v>213</v>
      </c>
    </row>
    <row r="62" ht="12.75">
      <c r="L62" s="107" t="str">
        <f aca="true" t="shared" si="0" ref="L62:L86">C3</f>
        <v>Cash</v>
      </c>
    </row>
    <row r="63" ht="12.75">
      <c r="L63" s="107" t="str">
        <f t="shared" si="0"/>
        <v>Accounts Receivable</v>
      </c>
    </row>
    <row r="64" ht="12.75">
      <c r="L64" s="107" t="str">
        <f t="shared" si="0"/>
        <v>Merchandise Inventory</v>
      </c>
    </row>
    <row r="65" ht="12.75">
      <c r="L65" s="107" t="str">
        <f t="shared" si="0"/>
        <v>Supplies</v>
      </c>
    </row>
    <row r="66" ht="12.75">
      <c r="L66" s="107" t="str">
        <f t="shared" si="0"/>
        <v>Prepaid Insurance</v>
      </c>
    </row>
    <row r="67" ht="12.75">
      <c r="L67" s="107" t="str">
        <f t="shared" si="0"/>
        <v>Equipment</v>
      </c>
    </row>
    <row r="68" ht="12.75">
      <c r="L68" s="107" t="str">
        <f t="shared" si="0"/>
        <v>Accounts Payable</v>
      </c>
    </row>
    <row r="69" ht="12.75">
      <c r="L69" s="107" t="str">
        <f t="shared" si="0"/>
        <v>Salaries Payable</v>
      </c>
    </row>
    <row r="70" ht="12.75">
      <c r="L70" s="107" t="str">
        <f t="shared" si="0"/>
        <v>Employees' Federal Tax Payable</v>
      </c>
    </row>
    <row r="71" ht="12.75">
      <c r="L71" s="107" t="str">
        <f t="shared" si="0"/>
        <v>FICA Payable</v>
      </c>
    </row>
    <row r="72" ht="12.75">
      <c r="L72" s="107" t="str">
        <f t="shared" si="0"/>
        <v>SUTA Payable</v>
      </c>
    </row>
    <row r="73" ht="12.75">
      <c r="L73" s="107" t="str">
        <f t="shared" si="0"/>
        <v>FUTA Payable</v>
      </c>
    </row>
    <row r="74" ht="12.75">
      <c r="L74" s="107" t="str">
        <f t="shared" si="0"/>
        <v>J. Hammonds, Capital</v>
      </c>
    </row>
    <row r="75" ht="12.75">
      <c r="L75" s="107" t="str">
        <f t="shared" si="0"/>
        <v>J. Hammonds, Drawing</v>
      </c>
    </row>
    <row r="76" ht="12.75">
      <c r="L76" s="107" t="str">
        <f t="shared" si="0"/>
        <v>Sales</v>
      </c>
    </row>
    <row r="77" ht="12.75">
      <c r="L77" s="107" t="str">
        <f t="shared" si="0"/>
        <v>Sales Returns and Allowances</v>
      </c>
    </row>
    <row r="78" ht="12.75">
      <c r="L78" s="107" t="str">
        <f t="shared" si="0"/>
        <v>Sales Discounts</v>
      </c>
    </row>
    <row r="79" ht="12.75">
      <c r="L79" s="107" t="str">
        <f t="shared" si="0"/>
        <v>Purchases</v>
      </c>
    </row>
    <row r="80" ht="12.75">
      <c r="L80" s="107" t="str">
        <f t="shared" si="0"/>
        <v>Purchases Returns and Allowances</v>
      </c>
    </row>
    <row r="81" ht="12.75">
      <c r="L81" s="107" t="str">
        <f t="shared" si="0"/>
        <v>Purchases Discounts</v>
      </c>
    </row>
    <row r="82" ht="12.75">
      <c r="L82" s="107" t="str">
        <f t="shared" si="0"/>
        <v>Freight In</v>
      </c>
    </row>
    <row r="83" ht="12.75">
      <c r="L83" s="107" t="str">
        <f t="shared" si="0"/>
        <v>Salaries Expense</v>
      </c>
    </row>
    <row r="84" ht="12.75">
      <c r="L84" s="107" t="str">
        <f t="shared" si="0"/>
        <v>Payroll Tax Expense</v>
      </c>
    </row>
    <row r="85" ht="12.75">
      <c r="L85" s="107" t="str">
        <f t="shared" si="0"/>
        <v>Rent Expense</v>
      </c>
    </row>
    <row r="86" ht="12.75">
      <c r="L86" s="107" t="str">
        <f t="shared" si="0"/>
        <v>Miscellaneous Expense</v>
      </c>
    </row>
    <row r="87" ht="12.75">
      <c r="L87" s="107" t="str">
        <f>H54</f>
        <v>Bryan Supply</v>
      </c>
    </row>
    <row r="88" ht="12.75">
      <c r="L88" s="107" t="str">
        <f>H55</f>
        <v>English and Cole</v>
      </c>
    </row>
    <row r="89" ht="12.75">
      <c r="L89" s="107" t="str">
        <f>H56</f>
        <v>L. Parker</v>
      </c>
    </row>
    <row r="90" ht="12.75">
      <c r="L90" s="107" t="str">
        <f>H57</f>
        <v>Peterson, Inc.</v>
      </c>
    </row>
    <row r="91" ht="12.75">
      <c r="L91" s="107" t="str">
        <f>H58</f>
        <v>Vessey Appliance</v>
      </c>
    </row>
    <row r="92" ht="12.75">
      <c r="L92" s="107" t="str">
        <f>J54</f>
        <v>Crosby Products</v>
      </c>
    </row>
    <row r="93" ht="12.75">
      <c r="L93" s="107" t="str">
        <f>J55</f>
        <v>Duncan Office Supply</v>
      </c>
    </row>
    <row r="94" ht="12.75">
      <c r="L94" s="107" t="str">
        <f>J56</f>
        <v>Franklin and Son</v>
      </c>
    </row>
    <row r="95" ht="12.75">
      <c r="L95" s="107" t="str">
        <f>J57</f>
        <v>Vaughn and Company</v>
      </c>
    </row>
    <row r="96" ht="12.75">
      <c r="L96" s="107" t="s">
        <v>222</v>
      </c>
    </row>
    <row r="97" ht="12.75">
      <c r="L97" s="107"/>
    </row>
    <row r="98" ht="12.75">
      <c r="L98" s="107"/>
    </row>
    <row r="99" ht="12.75">
      <c r="L99" s="107"/>
    </row>
  </sheetData>
  <mergeCells count="5">
    <mergeCell ref="A20:A27"/>
    <mergeCell ref="A3:A8"/>
    <mergeCell ref="A9:A14"/>
    <mergeCell ref="A15:A16"/>
    <mergeCell ref="A17:A19"/>
  </mergeCells>
  <printOptions/>
  <pageMargins left="0.75" right="0.75" top="1" bottom="1" header="0.5" footer="0.5"/>
  <pageSetup horizontalDpi="300" verticalDpi="300" orientation="portrait" r:id="rId1"/>
</worksheet>
</file>

<file path=xl/worksheets/sheet45.xml><?xml version="1.0" encoding="utf-8"?>
<worksheet xmlns="http://schemas.openxmlformats.org/spreadsheetml/2006/main" xmlns:r="http://schemas.openxmlformats.org/officeDocument/2006/relationships">
  <sheetPr>
    <tabColor indexed="11"/>
    <pageSetUpPr fitToPage="1"/>
  </sheetPr>
  <dimension ref="A1:J17"/>
  <sheetViews>
    <sheetView showGridLines="0" workbookViewId="0" topLeftCell="A1">
      <selection activeCell="D29" sqref="D29:F30"/>
    </sheetView>
  </sheetViews>
  <sheetFormatPr defaultColWidth="9.140625" defaultRowHeight="12.75"/>
  <cols>
    <col min="1" max="1" width="2.421875" style="0" customWidth="1"/>
    <col min="2" max="2" width="7.140625" style="0" customWidth="1"/>
    <col min="3" max="3" width="3.57421875" style="0" customWidth="1"/>
    <col min="4" max="4" width="7.57421875" style="0" customWidth="1"/>
    <col min="5" max="5" width="26.7109375" style="0" customWidth="1"/>
    <col min="6" max="6" width="8.140625" style="0" customWidth="1"/>
    <col min="7" max="7" width="12.140625" style="0" customWidth="1"/>
    <col min="8" max="8" width="2.421875" style="0" customWidth="1"/>
    <col min="9" max="10" width="9.28125" style="0" bestFit="1" customWidth="1"/>
  </cols>
  <sheetData>
    <row r="1" spans="1:8" ht="13.5" thickBot="1">
      <c r="A1" s="123" t="s">
        <v>173</v>
      </c>
      <c r="B1" s="123"/>
      <c r="C1" s="123"/>
      <c r="D1" s="123"/>
      <c r="E1" s="123"/>
      <c r="F1" s="124" t="s">
        <v>174</v>
      </c>
      <c r="G1" s="125" t="s">
        <v>157</v>
      </c>
      <c r="H1" s="124"/>
    </row>
    <row r="2" spans="1:8" ht="26.25" thickTop="1">
      <c r="A2" s="126"/>
      <c r="B2" s="127" t="s">
        <v>17</v>
      </c>
      <c r="C2" s="127"/>
      <c r="D2" s="128" t="s">
        <v>175</v>
      </c>
      <c r="E2" s="129" t="s">
        <v>176</v>
      </c>
      <c r="F2" s="129" t="s">
        <v>177</v>
      </c>
      <c r="G2" s="128" t="s">
        <v>178</v>
      </c>
      <c r="H2" s="130"/>
    </row>
    <row r="3" spans="1:8" ht="12.75">
      <c r="A3" s="131"/>
      <c r="B3" s="132" t="str">
        <f>'Assumptions (an)'!$G$31</f>
        <v>2006</v>
      </c>
      <c r="C3" s="132"/>
      <c r="D3" s="132"/>
      <c r="E3" s="132"/>
      <c r="F3" s="132"/>
      <c r="G3" s="160"/>
      <c r="H3" s="133"/>
    </row>
    <row r="4" spans="1:8" ht="12.75">
      <c r="A4" s="131"/>
      <c r="B4" s="132" t="str">
        <f>'Assumptions (an)'!$G$32</f>
        <v>Jan.</v>
      </c>
      <c r="C4" s="132">
        <v>4</v>
      </c>
      <c r="D4" s="132">
        <v>6483</v>
      </c>
      <c r="E4" s="132" t="s">
        <v>168</v>
      </c>
      <c r="F4" s="161" t="s">
        <v>209</v>
      </c>
      <c r="G4" s="160">
        <v>750</v>
      </c>
      <c r="H4" s="133"/>
    </row>
    <row r="5" spans="1:8" ht="12.75">
      <c r="A5" s="131"/>
      <c r="B5" s="132"/>
      <c r="C5" s="132">
        <v>7</v>
      </c>
      <c r="D5" s="132">
        <f>IF(C5="","",D4+1)</f>
        <v>6484</v>
      </c>
      <c r="E5" s="132" t="s">
        <v>166</v>
      </c>
      <c r="F5" s="161" t="s">
        <v>209</v>
      </c>
      <c r="G5" s="160">
        <v>890</v>
      </c>
      <c r="H5" s="133"/>
    </row>
    <row r="6" spans="1:8" ht="12.75">
      <c r="A6" s="131"/>
      <c r="B6" s="132"/>
      <c r="C6" s="132">
        <v>14</v>
      </c>
      <c r="D6" s="132">
        <f>IF(C6="","",D5+1)</f>
        <v>6485</v>
      </c>
      <c r="E6" s="132" t="s">
        <v>172</v>
      </c>
      <c r="F6" s="161" t="s">
        <v>209</v>
      </c>
      <c r="G6" s="160">
        <v>1950</v>
      </c>
      <c r="H6" s="133"/>
    </row>
    <row r="7" spans="1:8" ht="13.5" thickBot="1">
      <c r="A7" s="182"/>
      <c r="B7" s="183"/>
      <c r="C7" s="183">
        <v>29</v>
      </c>
      <c r="D7" s="183">
        <f>IF(C7="","",D6+1)</f>
        <v>6486</v>
      </c>
      <c r="E7" s="183" t="s">
        <v>164</v>
      </c>
      <c r="F7" s="184" t="s">
        <v>209</v>
      </c>
      <c r="G7" s="185">
        <v>1940</v>
      </c>
      <c r="H7" s="186"/>
    </row>
    <row r="8" spans="1:8" ht="14.25" thickBot="1" thickTop="1">
      <c r="A8" s="187"/>
      <c r="B8" s="188"/>
      <c r="C8" s="188">
        <v>31</v>
      </c>
      <c r="D8" s="188"/>
      <c r="E8" s="188"/>
      <c r="F8" s="188"/>
      <c r="G8" s="189">
        <f>SUM(G4:G7)</f>
        <v>5530</v>
      </c>
      <c r="H8" s="190"/>
    </row>
    <row r="9" spans="1:8" ht="13.5" thickTop="1">
      <c r="A9" s="144"/>
      <c r="B9" s="145"/>
      <c r="C9" s="145"/>
      <c r="D9" s="145"/>
      <c r="E9" s="145"/>
      <c r="F9" s="177" t="s">
        <v>232</v>
      </c>
      <c r="G9" s="199">
        <f>'Ledgers (an)'!H13</f>
        <v>113</v>
      </c>
      <c r="H9" s="146"/>
    </row>
    <row r="10" spans="1:8" ht="12.75">
      <c r="A10" s="131"/>
      <c r="B10" s="132"/>
      <c r="C10" s="132"/>
      <c r="D10" s="132"/>
      <c r="E10" s="132"/>
      <c r="F10" s="177" t="s">
        <v>232</v>
      </c>
      <c r="G10" s="200">
        <f>'Ledgers (an)'!H169</f>
        <v>411</v>
      </c>
      <c r="H10" s="133"/>
    </row>
    <row r="12" spans="9:10" ht="12.75">
      <c r="I12" s="134" t="s">
        <v>179</v>
      </c>
      <c r="J12" s="134"/>
    </row>
    <row r="13" spans="9:10" ht="12.75">
      <c r="I13" s="135" t="s">
        <v>38</v>
      </c>
      <c r="J13" s="135" t="s">
        <v>39</v>
      </c>
    </row>
    <row r="14" spans="9:10" ht="12.75">
      <c r="I14" s="107"/>
      <c r="J14" s="107"/>
    </row>
    <row r="15" spans="9:10" ht="12.75">
      <c r="I15" s="107"/>
      <c r="J15" s="107"/>
    </row>
    <row r="16" spans="9:10" ht="13.5" thickBot="1">
      <c r="I16" s="136"/>
      <c r="J16" s="136"/>
    </row>
    <row r="17" spans="9:10" ht="13.5" thickBot="1">
      <c r="I17" s="191">
        <f>G8</f>
        <v>5530</v>
      </c>
      <c r="J17" s="191">
        <f>G8</f>
        <v>5530</v>
      </c>
    </row>
    <row r="18" ht="13.5" thickTop="1"/>
  </sheetData>
  <dataValidations count="2">
    <dataValidation type="list" allowBlank="1" showInputMessage="1" showErrorMessage="1" sqref="G1 F3:F8">
      <formula1>JournalNo</formula1>
    </dataValidation>
    <dataValidation type="list" allowBlank="1" showInputMessage="1" showErrorMessage="1" sqref="E3:E10">
      <formula1>Customers</formula1>
    </dataValidation>
  </dataValidations>
  <printOptions horizontalCentered="1"/>
  <pageMargins left="0.75" right="0.75" top="1" bottom="1" header="0.5" footer="0.5"/>
  <pageSetup fitToHeight="1" fitToWidth="1" horizontalDpi="600" verticalDpi="600" orientation="landscape" r:id="rId2"/>
  <headerFooter alignWithMargins="0">
    <oddHeader>&amp;L&amp;F&amp;C&amp;A&amp;R&amp;D</oddHeader>
    <oddFooter>&amp;CPage &amp;P of &amp;N</oddFooter>
  </headerFooter>
  <drawing r:id="rId1"/>
</worksheet>
</file>

<file path=xl/worksheets/sheet46.xml><?xml version="1.0" encoding="utf-8"?>
<worksheet xmlns="http://schemas.openxmlformats.org/spreadsheetml/2006/main" xmlns:r="http://schemas.openxmlformats.org/officeDocument/2006/relationships">
  <sheetPr>
    <tabColor indexed="45"/>
    <pageSetUpPr fitToPage="1"/>
  </sheetPr>
  <dimension ref="A1:O17"/>
  <sheetViews>
    <sheetView showGridLines="0" zoomScale="77" zoomScaleNormal="77" workbookViewId="0" topLeftCell="A1">
      <selection activeCell="D29" sqref="D29:F30"/>
    </sheetView>
  </sheetViews>
  <sheetFormatPr defaultColWidth="9.140625" defaultRowHeight="12.75"/>
  <cols>
    <col min="1" max="1" width="2.00390625" style="0" customWidth="1"/>
    <col min="2" max="2" width="7.421875" style="0" customWidth="1"/>
    <col min="3" max="3" width="3.57421875" style="0" customWidth="1"/>
    <col min="4" max="4" width="28.57421875" style="0" customWidth="1"/>
    <col min="5" max="7" width="9.28125" style="0" customWidth="1"/>
    <col min="8" max="8" width="6.140625" style="0" customWidth="1"/>
    <col min="9" max="9" width="8.140625" style="0" customWidth="1"/>
    <col min="10" max="12" width="9.28125" style="0" customWidth="1"/>
    <col min="13" max="13" width="2.00390625" style="0" customWidth="1"/>
  </cols>
  <sheetData>
    <row r="1" spans="1:12" ht="16.5" thickBot="1">
      <c r="A1" s="138" t="s">
        <v>180</v>
      </c>
      <c r="B1" s="138"/>
      <c r="C1" s="138"/>
      <c r="D1" s="138"/>
      <c r="E1" s="138"/>
      <c r="F1" s="138"/>
      <c r="G1" s="138"/>
      <c r="H1" s="138"/>
      <c r="I1" s="124" t="s">
        <v>174</v>
      </c>
      <c r="J1" s="125" t="s">
        <v>158</v>
      </c>
      <c r="K1" s="124"/>
      <c r="L1" s="124"/>
    </row>
    <row r="2" spans="1:13" ht="39.75" thickBot="1" thickTop="1">
      <c r="A2" s="139"/>
      <c r="B2" s="140" t="s">
        <v>17</v>
      </c>
      <c r="C2" s="140"/>
      <c r="D2" s="141" t="s">
        <v>181</v>
      </c>
      <c r="E2" s="142" t="s">
        <v>182</v>
      </c>
      <c r="F2" s="142" t="s">
        <v>183</v>
      </c>
      <c r="G2" s="141" t="s">
        <v>184</v>
      </c>
      <c r="H2" s="142" t="s">
        <v>185</v>
      </c>
      <c r="I2" s="141" t="s">
        <v>177</v>
      </c>
      <c r="J2" s="142" t="s">
        <v>186</v>
      </c>
      <c r="K2" s="142" t="s">
        <v>187</v>
      </c>
      <c r="L2" s="142" t="s">
        <v>188</v>
      </c>
      <c r="M2" s="143"/>
    </row>
    <row r="3" spans="1:13" ht="13.5" thickTop="1">
      <c r="A3" s="144"/>
      <c r="B3" s="132" t="str">
        <f>'Assumptions (an)'!$G$31</f>
        <v>2006</v>
      </c>
      <c r="C3" s="145"/>
      <c r="D3" s="145"/>
      <c r="E3" s="145"/>
      <c r="F3" s="145"/>
      <c r="G3" s="145"/>
      <c r="H3" s="145"/>
      <c r="I3" s="145"/>
      <c r="J3" s="166"/>
      <c r="K3" s="166"/>
      <c r="L3" s="166"/>
      <c r="M3" s="146"/>
    </row>
    <row r="4" spans="1:13" ht="12.75">
      <c r="A4" s="131"/>
      <c r="B4" s="132" t="str">
        <f>'Assumptions (an)'!$G$32</f>
        <v>Jan.</v>
      </c>
      <c r="C4" s="132">
        <v>4</v>
      </c>
      <c r="D4" s="132" t="s">
        <v>171</v>
      </c>
      <c r="E4" s="132" t="s">
        <v>215</v>
      </c>
      <c r="F4" s="169">
        <v>38719</v>
      </c>
      <c r="G4" s="132" t="s">
        <v>216</v>
      </c>
      <c r="H4" s="170">
        <v>0.02</v>
      </c>
      <c r="I4" s="161" t="s">
        <v>209</v>
      </c>
      <c r="J4" s="160">
        <f>IF(C4="","",SUM(K4:L4))</f>
        <v>2840</v>
      </c>
      <c r="K4" s="160"/>
      <c r="L4" s="160">
        <v>2840</v>
      </c>
      <c r="M4" s="133"/>
    </row>
    <row r="5" spans="1:13" ht="13.5" thickBot="1">
      <c r="A5" s="182"/>
      <c r="B5" s="183"/>
      <c r="C5" s="183">
        <v>18</v>
      </c>
      <c r="D5" s="183" t="s">
        <v>165</v>
      </c>
      <c r="E5" s="183" t="s">
        <v>225</v>
      </c>
      <c r="F5" s="192">
        <v>38733</v>
      </c>
      <c r="G5" s="183" t="s">
        <v>226</v>
      </c>
      <c r="H5" s="193">
        <v>0.02</v>
      </c>
      <c r="I5" s="184" t="s">
        <v>209</v>
      </c>
      <c r="J5" s="185">
        <f>IF(C5="","",SUM(K5:L5))</f>
        <v>4930</v>
      </c>
      <c r="K5" s="185">
        <v>150</v>
      </c>
      <c r="L5" s="185">
        <v>4780</v>
      </c>
      <c r="M5" s="186"/>
    </row>
    <row r="6" spans="1:13" ht="14.25" thickBot="1" thickTop="1">
      <c r="A6" s="187"/>
      <c r="B6" s="188"/>
      <c r="C6" s="188">
        <v>31</v>
      </c>
      <c r="D6" s="188"/>
      <c r="E6" s="188"/>
      <c r="F6" s="188"/>
      <c r="G6" s="188"/>
      <c r="H6" s="188"/>
      <c r="I6" s="188"/>
      <c r="J6" s="189">
        <f>SUM(J4:J5)</f>
        <v>7770</v>
      </c>
      <c r="K6" s="189">
        <f>SUM(K4:K5)</f>
        <v>150</v>
      </c>
      <c r="L6" s="189">
        <f>SUM(L4:L5)</f>
        <v>7620</v>
      </c>
      <c r="M6" s="190"/>
    </row>
    <row r="7" spans="1:13" ht="13.5" thickTop="1">
      <c r="A7" s="144"/>
      <c r="B7" s="145"/>
      <c r="C7" s="145"/>
      <c r="D7" s="145"/>
      <c r="E7" s="145"/>
      <c r="F7" s="145"/>
      <c r="G7" s="145"/>
      <c r="H7" s="145"/>
      <c r="I7" s="177" t="s">
        <v>232</v>
      </c>
      <c r="J7" s="199">
        <f>'Ledgers (an)'!H73</f>
        <v>212</v>
      </c>
      <c r="K7" s="199">
        <f>'Ledgers (an)'!H241</f>
        <v>514</v>
      </c>
      <c r="L7" s="199">
        <f>'Ledgers (an)'!H205</f>
        <v>511</v>
      </c>
      <c r="M7" s="146"/>
    </row>
    <row r="8" spans="1:13" ht="12.75">
      <c r="A8" s="131"/>
      <c r="B8" s="132"/>
      <c r="C8" s="132"/>
      <c r="D8" s="132"/>
      <c r="E8" s="132"/>
      <c r="F8" s="132"/>
      <c r="G8" s="132"/>
      <c r="H8" s="132"/>
      <c r="I8" s="132"/>
      <c r="J8" s="160"/>
      <c r="K8" s="160"/>
      <c r="L8" s="160"/>
      <c r="M8" s="133"/>
    </row>
    <row r="9" spans="1:13" ht="12.75">
      <c r="A9" s="131"/>
      <c r="B9" s="132"/>
      <c r="C9" s="132"/>
      <c r="D9" s="132"/>
      <c r="E9" s="132"/>
      <c r="F9" s="132"/>
      <c r="G9" s="132"/>
      <c r="H9" s="132"/>
      <c r="I9" s="132"/>
      <c r="J9" s="160"/>
      <c r="K9" s="160"/>
      <c r="L9" s="160"/>
      <c r="M9" s="133"/>
    </row>
    <row r="10" spans="1:13" ht="12.75">
      <c r="A10" s="131"/>
      <c r="B10" s="132"/>
      <c r="C10" s="132"/>
      <c r="D10" s="132"/>
      <c r="E10" s="132"/>
      <c r="F10" s="132"/>
      <c r="G10" s="132"/>
      <c r="H10" s="132"/>
      <c r="I10" s="132"/>
      <c r="J10" s="160"/>
      <c r="K10" s="160"/>
      <c r="L10" s="160"/>
      <c r="M10" s="133"/>
    </row>
    <row r="12" spans="14:15" ht="12.75">
      <c r="N12" s="134" t="s">
        <v>179</v>
      </c>
      <c r="O12" s="134"/>
    </row>
    <row r="13" spans="14:15" ht="12.75">
      <c r="N13" s="135" t="s">
        <v>38</v>
      </c>
      <c r="O13" s="135" t="s">
        <v>39</v>
      </c>
    </row>
    <row r="14" spans="14:15" ht="12.75">
      <c r="N14" s="110">
        <f>L6</f>
        <v>7620</v>
      </c>
      <c r="O14" s="110">
        <f>J6</f>
        <v>7770</v>
      </c>
    </row>
    <row r="15" spans="14:15" ht="12.75">
      <c r="N15" s="110">
        <f>K6</f>
        <v>150</v>
      </c>
      <c r="O15" s="107"/>
    </row>
    <row r="16" spans="14:15" ht="13.5" thickBot="1">
      <c r="N16" s="136"/>
      <c r="O16" s="136"/>
    </row>
    <row r="17" spans="14:15" ht="13.5" thickBot="1">
      <c r="N17" s="191">
        <f>SUM(N14:N16)</f>
        <v>7770</v>
      </c>
      <c r="O17" s="191">
        <f>SUM(O14:O16)</f>
        <v>7770</v>
      </c>
    </row>
    <row r="18" ht="13.5" thickTop="1"/>
  </sheetData>
  <dataValidations count="2">
    <dataValidation type="list" allowBlank="1" showInputMessage="1" showErrorMessage="1" sqref="J1">
      <formula1>JournalNo</formula1>
    </dataValidation>
    <dataValidation type="list" allowBlank="1" showInputMessage="1" showErrorMessage="1" sqref="D3:D10">
      <formula1>Suppliers</formula1>
    </dataValidation>
  </dataValidations>
  <printOptions horizontalCentered="1"/>
  <pageMargins left="0.75" right="0.75" top="1" bottom="1" header="0.5" footer="0.5"/>
  <pageSetup fitToHeight="1" fitToWidth="1" horizontalDpi="600" verticalDpi="600" orientation="landscape" scale="93" r:id="rId2"/>
  <headerFooter alignWithMargins="0">
    <oddHeader>&amp;L&amp;F&amp;C&amp;A&amp;R&amp;D</oddHeader>
    <oddFooter>&amp;CPage &amp;P of &amp;N</oddFooter>
  </headerFooter>
  <drawing r:id="rId1"/>
</worksheet>
</file>

<file path=xl/worksheets/sheet47.xml><?xml version="1.0" encoding="utf-8"?>
<worksheet xmlns="http://schemas.openxmlformats.org/spreadsheetml/2006/main" xmlns:r="http://schemas.openxmlformats.org/officeDocument/2006/relationships">
  <sheetPr>
    <tabColor indexed="50"/>
    <pageSetUpPr fitToPage="1"/>
  </sheetPr>
  <dimension ref="A1:M20"/>
  <sheetViews>
    <sheetView showGridLines="0" zoomScale="77" zoomScaleNormal="77" workbookViewId="0" topLeftCell="A1">
      <selection activeCell="D29" sqref="D29:F30"/>
    </sheetView>
  </sheetViews>
  <sheetFormatPr defaultColWidth="9.140625" defaultRowHeight="12.75"/>
  <cols>
    <col min="1" max="1" width="2.28125" style="0" customWidth="1"/>
    <col min="2" max="2" width="7.28125" style="0" customWidth="1"/>
    <col min="3" max="3" width="3.57421875" style="0" customWidth="1"/>
    <col min="4" max="4" width="24.140625" style="0" customWidth="1"/>
    <col min="5" max="5" width="8.28125" style="0" customWidth="1"/>
    <col min="6" max="10" width="13.8515625" style="0" customWidth="1"/>
    <col min="11" max="11" width="2.28125" style="0" customWidth="1"/>
    <col min="12" max="12" width="12.140625" style="0" bestFit="1" customWidth="1"/>
    <col min="13" max="13" width="11.28125" style="0" bestFit="1" customWidth="1"/>
  </cols>
  <sheetData>
    <row r="1" spans="1:10" ht="16.5" thickBot="1">
      <c r="A1" s="147" t="s">
        <v>189</v>
      </c>
      <c r="B1" s="147"/>
      <c r="C1" s="147"/>
      <c r="D1" s="147"/>
      <c r="E1" s="147"/>
      <c r="F1" s="147"/>
      <c r="G1" s="147"/>
      <c r="H1" s="124" t="s">
        <v>174</v>
      </c>
      <c r="I1" s="125" t="s">
        <v>159</v>
      </c>
      <c r="J1" s="124"/>
    </row>
    <row r="2" spans="1:11" ht="27" thickBot="1" thickTop="1">
      <c r="A2" s="139"/>
      <c r="B2" s="148" t="s">
        <v>17</v>
      </c>
      <c r="C2" s="140"/>
      <c r="D2" s="142" t="s">
        <v>190</v>
      </c>
      <c r="E2" s="142" t="s">
        <v>191</v>
      </c>
      <c r="F2" s="142" t="s">
        <v>192</v>
      </c>
      <c r="G2" s="142" t="s">
        <v>193</v>
      </c>
      <c r="H2" s="142" t="s">
        <v>194</v>
      </c>
      <c r="I2" s="142" t="s">
        <v>195</v>
      </c>
      <c r="J2" s="142" t="s">
        <v>196</v>
      </c>
      <c r="K2" s="143"/>
    </row>
    <row r="3" spans="1:11" ht="13.5" thickTop="1">
      <c r="A3" s="144"/>
      <c r="B3" s="132" t="str">
        <f>'Assumptions (an)'!$G$31</f>
        <v>2006</v>
      </c>
      <c r="C3" s="145"/>
      <c r="D3" s="145"/>
      <c r="E3" s="145"/>
      <c r="F3" s="167"/>
      <c r="G3" s="167"/>
      <c r="H3" s="167"/>
      <c r="I3" s="167"/>
      <c r="J3" s="167"/>
      <c r="K3" s="146"/>
    </row>
    <row r="4" spans="1:11" ht="12.75">
      <c r="A4" s="131"/>
      <c r="B4" s="132" t="str">
        <f>'Assumptions (an)'!$G$32</f>
        <v>Jan.</v>
      </c>
      <c r="C4" s="132">
        <v>2</v>
      </c>
      <c r="D4" s="132" t="s">
        <v>214</v>
      </c>
      <c r="E4" s="132">
        <f>'Ledgers (an)'!H145</f>
        <v>311</v>
      </c>
      <c r="F4" s="168">
        <v>2200</v>
      </c>
      <c r="G4" s="168"/>
      <c r="H4" s="168"/>
      <c r="I4" s="168"/>
      <c r="J4" s="168">
        <f aca="true" t="shared" si="0" ref="J4:J9">IF(C4="","",SUM(F4:H4)-I4)</f>
        <v>2200</v>
      </c>
      <c r="K4" s="133"/>
    </row>
    <row r="5" spans="1:11" ht="12.75">
      <c r="A5" s="131"/>
      <c r="B5" s="132"/>
      <c r="C5" s="132">
        <v>4</v>
      </c>
      <c r="D5" s="132" t="s">
        <v>172</v>
      </c>
      <c r="E5" s="161" t="s">
        <v>209</v>
      </c>
      <c r="F5" s="168"/>
      <c r="G5" s="168">
        <v>1000</v>
      </c>
      <c r="H5" s="168"/>
      <c r="I5" s="168">
        <v>20</v>
      </c>
      <c r="J5" s="168">
        <f t="shared" si="0"/>
        <v>980</v>
      </c>
      <c r="K5" s="133"/>
    </row>
    <row r="6" spans="1:11" ht="12.75">
      <c r="A6" s="131"/>
      <c r="B6" s="132"/>
      <c r="C6" s="132">
        <v>6</v>
      </c>
      <c r="D6" s="132" t="s">
        <v>170</v>
      </c>
      <c r="E6" s="161" t="s">
        <v>209</v>
      </c>
      <c r="F6" s="168"/>
      <c r="G6" s="168">
        <v>650</v>
      </c>
      <c r="H6" s="168"/>
      <c r="I6" s="168">
        <v>13</v>
      </c>
      <c r="J6" s="168">
        <f t="shared" si="0"/>
        <v>637</v>
      </c>
      <c r="K6" s="133"/>
    </row>
    <row r="7" spans="1:11" ht="12.75">
      <c r="A7" s="131"/>
      <c r="B7" s="132"/>
      <c r="C7" s="132">
        <v>11</v>
      </c>
      <c r="D7" s="132" t="s">
        <v>222</v>
      </c>
      <c r="E7" s="132" t="s">
        <v>224</v>
      </c>
      <c r="F7" s="168"/>
      <c r="G7" s="168"/>
      <c r="H7" s="168">
        <v>4514</v>
      </c>
      <c r="I7" s="168"/>
      <c r="J7" s="168">
        <f t="shared" si="0"/>
        <v>4514</v>
      </c>
      <c r="K7" s="133"/>
    </row>
    <row r="8" spans="1:11" ht="12.75">
      <c r="A8" s="131"/>
      <c r="B8" s="132"/>
      <c r="C8" s="132">
        <v>21</v>
      </c>
      <c r="D8" s="132" t="s">
        <v>222</v>
      </c>
      <c r="E8" s="132" t="s">
        <v>224</v>
      </c>
      <c r="F8" s="168"/>
      <c r="G8" s="168"/>
      <c r="H8" s="168">
        <v>3990</v>
      </c>
      <c r="I8" s="168"/>
      <c r="J8" s="168">
        <f t="shared" si="0"/>
        <v>3990</v>
      </c>
      <c r="K8" s="133"/>
    </row>
    <row r="9" spans="1:11" ht="13.5" thickBot="1">
      <c r="A9" s="182"/>
      <c r="B9" s="183"/>
      <c r="C9" s="183">
        <v>31</v>
      </c>
      <c r="D9" s="183" t="s">
        <v>222</v>
      </c>
      <c r="E9" s="183" t="s">
        <v>224</v>
      </c>
      <c r="F9" s="194"/>
      <c r="G9" s="194"/>
      <c r="H9" s="194">
        <v>4428</v>
      </c>
      <c r="I9" s="194"/>
      <c r="J9" s="194">
        <f t="shared" si="0"/>
        <v>4428</v>
      </c>
      <c r="K9" s="186"/>
    </row>
    <row r="10" spans="1:11" ht="14.25" thickBot="1" thickTop="1">
      <c r="A10" s="187"/>
      <c r="B10" s="188"/>
      <c r="C10" s="188">
        <v>31</v>
      </c>
      <c r="D10" s="188"/>
      <c r="E10" s="188"/>
      <c r="F10" s="195">
        <f>SUM(F4:F9)</f>
        <v>2200</v>
      </c>
      <c r="G10" s="195">
        <f>SUM(G4:G9)</f>
        <v>1650</v>
      </c>
      <c r="H10" s="195">
        <f>SUM(H4:H9)</f>
        <v>12932</v>
      </c>
      <c r="I10" s="195">
        <f>SUM(I4:I9)</f>
        <v>33</v>
      </c>
      <c r="J10" s="195">
        <f>SUM(J4:J9)</f>
        <v>16749</v>
      </c>
      <c r="K10" s="190"/>
    </row>
    <row r="11" spans="1:11" ht="13.5" thickTop="1">
      <c r="A11" s="144"/>
      <c r="B11" s="145"/>
      <c r="C11" s="145"/>
      <c r="D11" s="145"/>
      <c r="E11" s="177" t="s">
        <v>232</v>
      </c>
      <c r="F11" s="202" t="s">
        <v>233</v>
      </c>
      <c r="G11" s="201">
        <f>'Ledgers (an)'!H13</f>
        <v>113</v>
      </c>
      <c r="H11" s="201">
        <f>'Ledgers (an)'!H169</f>
        <v>411</v>
      </c>
      <c r="I11" s="201">
        <f>'Ledgers (an)'!H193</f>
        <v>413</v>
      </c>
      <c r="J11" s="201">
        <f>'Ledgers (an)'!H1</f>
        <v>111</v>
      </c>
      <c r="K11" s="146"/>
    </row>
    <row r="12" spans="1:11" ht="12.75">
      <c r="A12" s="131"/>
      <c r="B12" s="132"/>
      <c r="C12" s="132"/>
      <c r="D12" s="132"/>
      <c r="E12" s="132"/>
      <c r="F12" s="168"/>
      <c r="G12" s="168"/>
      <c r="H12" s="168"/>
      <c r="I12" s="168"/>
      <c r="J12" s="168"/>
      <c r="K12" s="133"/>
    </row>
    <row r="13" spans="1:11" ht="12.75">
      <c r="A13" s="131"/>
      <c r="B13" s="132"/>
      <c r="C13" s="132"/>
      <c r="D13" s="132"/>
      <c r="E13" s="132"/>
      <c r="F13" s="168"/>
      <c r="G13" s="168"/>
      <c r="H13" s="168"/>
      <c r="I13" s="168"/>
      <c r="J13" s="168"/>
      <c r="K13" s="133"/>
    </row>
    <row r="14" spans="1:11" ht="12.75">
      <c r="A14" s="131"/>
      <c r="B14" s="132"/>
      <c r="C14" s="132"/>
      <c r="D14" s="132"/>
      <c r="E14" s="132"/>
      <c r="F14" s="168"/>
      <c r="G14" s="168"/>
      <c r="H14" s="168"/>
      <c r="I14" s="168"/>
      <c r="J14" s="168"/>
      <c r="K14" s="133"/>
    </row>
    <row r="15" spans="12:13" ht="12.75">
      <c r="L15" s="134" t="s">
        <v>179</v>
      </c>
      <c r="M15" s="134"/>
    </row>
    <row r="16" spans="12:13" ht="12.75">
      <c r="L16" s="135" t="s">
        <v>38</v>
      </c>
      <c r="M16" s="135" t="s">
        <v>39</v>
      </c>
    </row>
    <row r="17" spans="12:13" ht="12.75">
      <c r="L17" s="196">
        <f>I10</f>
        <v>33</v>
      </c>
      <c r="M17" s="196">
        <f>F10</f>
        <v>2200</v>
      </c>
    </row>
    <row r="18" spans="12:13" ht="12.75">
      <c r="L18" s="196">
        <f>J10</f>
        <v>16749</v>
      </c>
      <c r="M18" s="196">
        <f>G10</f>
        <v>1650</v>
      </c>
    </row>
    <row r="19" spans="12:13" ht="13.5" thickBot="1">
      <c r="L19" s="136"/>
      <c r="M19" s="198">
        <f>H10</f>
        <v>12932</v>
      </c>
    </row>
    <row r="20" spans="12:13" ht="13.5" thickBot="1">
      <c r="L20" s="197">
        <f>SUM(L17:L19)</f>
        <v>16782</v>
      </c>
      <c r="M20" s="197">
        <f>SUM(M17:M19)</f>
        <v>16782</v>
      </c>
    </row>
    <row r="21" ht="13.5" thickTop="1"/>
  </sheetData>
  <dataValidations count="2">
    <dataValidation type="list" allowBlank="1" showInputMessage="1" showErrorMessage="1" sqref="I1">
      <formula1>JournalNo</formula1>
    </dataValidation>
    <dataValidation type="list" allowBlank="1" showInputMessage="1" showErrorMessage="1" sqref="D3:D14">
      <formula1>DropDownList</formula1>
    </dataValidation>
  </dataValidations>
  <printOptions horizontalCentered="1"/>
  <pageMargins left="0.75" right="0.75" top="1" bottom="1" header="0.5" footer="0.5"/>
  <pageSetup fitToHeight="1" fitToWidth="1" horizontalDpi="600" verticalDpi="600" orientation="landscape" scale="87" r:id="rId2"/>
  <headerFooter alignWithMargins="0">
    <oddHeader>&amp;L&amp;F&amp;C&amp;A&amp;R&amp;D</oddHeader>
    <oddFooter>&amp;CPage &amp;P of &amp;N</oddFooter>
  </headerFooter>
  <drawing r:id="rId1"/>
</worksheet>
</file>

<file path=xl/worksheets/sheet48.xml><?xml version="1.0" encoding="utf-8"?>
<worksheet xmlns="http://schemas.openxmlformats.org/spreadsheetml/2006/main" xmlns:r="http://schemas.openxmlformats.org/officeDocument/2006/relationships">
  <sheetPr>
    <tabColor indexed="52"/>
    <pageSetUpPr fitToPage="1"/>
  </sheetPr>
  <dimension ref="A1:M20"/>
  <sheetViews>
    <sheetView showGridLines="0" zoomScale="77" zoomScaleNormal="77" workbookViewId="0" topLeftCell="A1">
      <selection activeCell="D29" sqref="D29:F30"/>
    </sheetView>
  </sheetViews>
  <sheetFormatPr defaultColWidth="9.140625" defaultRowHeight="12.75"/>
  <cols>
    <col min="1" max="1" width="2.28125" style="0" customWidth="1"/>
    <col min="2" max="2" width="7.28125" style="0" customWidth="1"/>
    <col min="3" max="3" width="3.57421875" style="0" customWidth="1"/>
    <col min="4" max="4" width="6.7109375" style="0" customWidth="1"/>
    <col min="5" max="5" width="39.00390625" style="0" customWidth="1"/>
    <col min="6" max="6" width="7.140625" style="0" customWidth="1"/>
    <col min="7" max="10" width="12.00390625" style="0" customWidth="1"/>
    <col min="11" max="11" width="2.28125" style="0" customWidth="1"/>
    <col min="12" max="13" width="10.28125" style="0" bestFit="1" customWidth="1"/>
  </cols>
  <sheetData>
    <row r="1" spans="1:11" ht="16.5" thickBot="1">
      <c r="A1" s="149" t="s">
        <v>197</v>
      </c>
      <c r="B1" s="149"/>
      <c r="C1" s="149"/>
      <c r="D1" s="149"/>
      <c r="E1" s="149"/>
      <c r="F1" s="149"/>
      <c r="G1" s="149"/>
      <c r="H1" s="124" t="s">
        <v>174</v>
      </c>
      <c r="I1" s="125" t="s">
        <v>160</v>
      </c>
      <c r="J1" s="124"/>
      <c r="K1" s="124"/>
    </row>
    <row r="2" spans="1:11" ht="39.75" thickBot="1" thickTop="1">
      <c r="A2" s="139"/>
      <c r="B2" s="148" t="s">
        <v>17</v>
      </c>
      <c r="C2" s="140"/>
      <c r="D2" s="142" t="s">
        <v>198</v>
      </c>
      <c r="E2" s="142" t="s">
        <v>199</v>
      </c>
      <c r="F2" s="142" t="s">
        <v>191</v>
      </c>
      <c r="G2" s="142" t="s">
        <v>200</v>
      </c>
      <c r="H2" s="142" t="s">
        <v>201</v>
      </c>
      <c r="I2" s="142" t="s">
        <v>202</v>
      </c>
      <c r="J2" s="142" t="s">
        <v>203</v>
      </c>
      <c r="K2" s="143"/>
    </row>
    <row r="3" spans="1:11" ht="13.5" thickTop="1">
      <c r="A3" s="144"/>
      <c r="B3" s="132" t="str">
        <f>'Assumptions (an)'!$G$31</f>
        <v>2006</v>
      </c>
      <c r="C3" s="145"/>
      <c r="D3" s="145"/>
      <c r="E3" s="145"/>
      <c r="F3" s="145"/>
      <c r="G3" s="166"/>
      <c r="H3" s="166"/>
      <c r="I3" s="166"/>
      <c r="J3" s="166"/>
      <c r="K3" s="146"/>
    </row>
    <row r="4" spans="1:11" ht="12.75">
      <c r="A4" s="131"/>
      <c r="B4" s="132" t="str">
        <f>'Assumptions (an)'!$G$32</f>
        <v>Jan.</v>
      </c>
      <c r="C4" s="132">
        <v>2</v>
      </c>
      <c r="D4" s="132">
        <v>6981</v>
      </c>
      <c r="E4" s="132" t="s">
        <v>136</v>
      </c>
      <c r="F4" s="132">
        <f>'Ledgers (an)'!H277</f>
        <v>527</v>
      </c>
      <c r="G4" s="160">
        <v>600</v>
      </c>
      <c r="H4" s="160"/>
      <c r="I4" s="160"/>
      <c r="J4" s="160">
        <f aca="true" t="shared" si="0" ref="J4:J11">IF(C4="","",SUM(G4:H4)-I4)</f>
        <v>600</v>
      </c>
      <c r="K4" s="133"/>
    </row>
    <row r="5" spans="1:11" ht="12.75">
      <c r="A5" s="131"/>
      <c r="B5" s="132"/>
      <c r="C5" s="132">
        <v>7</v>
      </c>
      <c r="D5" s="132">
        <f aca="true" t="shared" si="1" ref="D5:D11">IF(C5="","",D4+1)</f>
        <v>6982</v>
      </c>
      <c r="E5" s="132" t="s">
        <v>169</v>
      </c>
      <c r="F5" s="161" t="s">
        <v>209</v>
      </c>
      <c r="G5" s="160"/>
      <c r="H5" s="160">
        <v>500</v>
      </c>
      <c r="I5" s="160">
        <v>10</v>
      </c>
      <c r="J5" s="160">
        <f t="shared" si="0"/>
        <v>490</v>
      </c>
      <c r="K5" s="133"/>
    </row>
    <row r="6" spans="1:11" ht="12.75">
      <c r="A6" s="131"/>
      <c r="B6" s="132"/>
      <c r="C6" s="132">
        <v>11</v>
      </c>
      <c r="D6" s="132">
        <f t="shared" si="1"/>
        <v>6983</v>
      </c>
      <c r="E6" s="132" t="s">
        <v>171</v>
      </c>
      <c r="F6" s="161" t="s">
        <v>209</v>
      </c>
      <c r="G6" s="160"/>
      <c r="H6" s="160">
        <v>2840</v>
      </c>
      <c r="I6" s="160">
        <v>56.8</v>
      </c>
      <c r="J6" s="160">
        <f t="shared" si="0"/>
        <v>2783.2</v>
      </c>
      <c r="K6" s="133"/>
    </row>
    <row r="7" spans="1:11" ht="12.75">
      <c r="A7" s="131"/>
      <c r="B7" s="132"/>
      <c r="C7" s="132">
        <v>21</v>
      </c>
      <c r="D7" s="132">
        <f t="shared" si="1"/>
        <v>6984</v>
      </c>
      <c r="E7" s="132" t="s">
        <v>137</v>
      </c>
      <c r="F7" s="132">
        <f>'Ledgers (an)'!H289</f>
        <v>531</v>
      </c>
      <c r="G7" s="160">
        <v>282</v>
      </c>
      <c r="H7" s="160"/>
      <c r="I7" s="160"/>
      <c r="J7" s="160">
        <f t="shared" si="0"/>
        <v>282</v>
      </c>
      <c r="K7" s="133"/>
    </row>
    <row r="8" spans="1:11" ht="12.75">
      <c r="A8" s="131"/>
      <c r="B8" s="132"/>
      <c r="C8" s="132">
        <v>23</v>
      </c>
      <c r="D8" s="132">
        <f t="shared" si="1"/>
        <v>6985</v>
      </c>
      <c r="E8" s="132" t="s">
        <v>49</v>
      </c>
      <c r="F8" s="132">
        <f>'Ledgers (an)'!H241</f>
        <v>514</v>
      </c>
      <c r="G8" s="160">
        <v>150</v>
      </c>
      <c r="H8" s="160"/>
      <c r="I8" s="160"/>
      <c r="J8" s="160">
        <f t="shared" si="0"/>
        <v>150</v>
      </c>
      <c r="K8" s="133"/>
    </row>
    <row r="9" spans="1:11" ht="12.75">
      <c r="A9" s="131"/>
      <c r="B9" s="132"/>
      <c r="C9" s="132">
        <v>31</v>
      </c>
      <c r="D9" s="132">
        <f t="shared" si="1"/>
        <v>6986</v>
      </c>
      <c r="E9" s="132" t="s">
        <v>137</v>
      </c>
      <c r="F9" s="132">
        <f>'Ledgers (an)'!H289</f>
        <v>531</v>
      </c>
      <c r="G9" s="160">
        <v>49</v>
      </c>
      <c r="H9" s="160"/>
      <c r="I9" s="160"/>
      <c r="J9" s="160">
        <f t="shared" si="0"/>
        <v>49</v>
      </c>
      <c r="K9" s="133"/>
    </row>
    <row r="10" spans="1:11" ht="12.75">
      <c r="A10" s="131"/>
      <c r="B10" s="132"/>
      <c r="C10" s="132">
        <v>31</v>
      </c>
      <c r="D10" s="132">
        <f t="shared" si="1"/>
        <v>6987</v>
      </c>
      <c r="E10" s="132" t="s">
        <v>124</v>
      </c>
      <c r="F10" s="132">
        <f>'Ledgers (an)'!H85</f>
        <v>215</v>
      </c>
      <c r="G10" s="160">
        <f>'General (an)'!H19</f>
        <v>4779.35</v>
      </c>
      <c r="H10" s="160"/>
      <c r="I10" s="160"/>
      <c r="J10" s="160">
        <f t="shared" si="0"/>
        <v>4779.35</v>
      </c>
      <c r="K10" s="133"/>
    </row>
    <row r="11" spans="1:11" ht="13.5" thickBot="1">
      <c r="A11" s="182"/>
      <c r="B11" s="183"/>
      <c r="C11" s="183">
        <v>31</v>
      </c>
      <c r="D11" s="183">
        <f t="shared" si="1"/>
        <v>6988</v>
      </c>
      <c r="E11" s="183" t="s">
        <v>231</v>
      </c>
      <c r="F11" s="183">
        <f>'Ledgers (an)'!H157</f>
        <v>312</v>
      </c>
      <c r="G11" s="185">
        <v>950</v>
      </c>
      <c r="H11" s="185"/>
      <c r="I11" s="185"/>
      <c r="J11" s="185">
        <f t="shared" si="0"/>
        <v>950</v>
      </c>
      <c r="K11" s="186"/>
    </row>
    <row r="12" spans="1:11" ht="14.25" thickBot="1" thickTop="1">
      <c r="A12" s="187"/>
      <c r="B12" s="188"/>
      <c r="C12" s="188">
        <v>31</v>
      </c>
      <c r="D12" s="188"/>
      <c r="E12" s="188"/>
      <c r="F12" s="188"/>
      <c r="G12" s="189">
        <f>SUM(G4:G11)</f>
        <v>6810.35</v>
      </c>
      <c r="H12" s="189">
        <f>SUM(H4:H11)</f>
        <v>3340</v>
      </c>
      <c r="I12" s="189">
        <f>SUM(I4:I11)</f>
        <v>66.8</v>
      </c>
      <c r="J12" s="189">
        <f>SUM(J4:J11)</f>
        <v>10083.55</v>
      </c>
      <c r="K12" s="190"/>
    </row>
    <row r="13" spans="1:11" ht="13.5" thickTop="1">
      <c r="A13" s="144"/>
      <c r="B13" s="145"/>
      <c r="C13" s="145"/>
      <c r="D13" s="145"/>
      <c r="E13" s="145"/>
      <c r="F13" s="177" t="s">
        <v>232</v>
      </c>
      <c r="G13" s="202" t="s">
        <v>234</v>
      </c>
      <c r="H13" s="201">
        <f>'Ledgers (an)'!H73</f>
        <v>212</v>
      </c>
      <c r="I13" s="201">
        <f>'Ledgers (an)'!H229</f>
        <v>513</v>
      </c>
      <c r="J13" s="201">
        <f>'Ledgers (an)'!H1</f>
        <v>111</v>
      </c>
      <c r="K13" s="146"/>
    </row>
    <row r="14" spans="1:11" ht="12.75">
      <c r="A14" s="131"/>
      <c r="B14" s="132"/>
      <c r="C14" s="132"/>
      <c r="D14" s="132"/>
      <c r="E14" s="132"/>
      <c r="F14" s="132"/>
      <c r="G14" s="160"/>
      <c r="H14" s="160"/>
      <c r="I14" s="160"/>
      <c r="J14" s="160"/>
      <c r="K14" s="133"/>
    </row>
    <row r="15" spans="12:13" ht="12.75">
      <c r="L15" s="134" t="s">
        <v>179</v>
      </c>
      <c r="M15" s="134"/>
    </row>
    <row r="16" spans="12:13" ht="12.75">
      <c r="L16" s="135" t="s">
        <v>38</v>
      </c>
      <c r="M16" s="135" t="s">
        <v>39</v>
      </c>
    </row>
    <row r="17" spans="12:13" ht="12.75">
      <c r="L17" s="110">
        <f>G12</f>
        <v>6810.35</v>
      </c>
      <c r="M17" s="110">
        <f>I12</f>
        <v>66.8</v>
      </c>
    </row>
    <row r="18" spans="12:13" ht="12.75">
      <c r="L18" s="110">
        <f>H12</f>
        <v>3340</v>
      </c>
      <c r="M18" s="110">
        <f>J12</f>
        <v>10083.55</v>
      </c>
    </row>
    <row r="19" spans="12:13" ht="13.5" thickBot="1">
      <c r="L19" s="136"/>
      <c r="M19" s="136"/>
    </row>
    <row r="20" spans="12:13" ht="13.5" thickBot="1">
      <c r="L20" s="191">
        <f>SUM(L17:L19)</f>
        <v>10150.35</v>
      </c>
      <c r="M20" s="191">
        <f>SUM(M17:M19)</f>
        <v>10150.349999999999</v>
      </c>
    </row>
    <row r="21" ht="13.5" thickTop="1"/>
  </sheetData>
  <dataValidations count="2">
    <dataValidation type="list" allowBlank="1" showInputMessage="1" showErrorMessage="1" sqref="I1">
      <formula1>JournalNo</formula1>
    </dataValidation>
    <dataValidation type="list" allowBlank="1" showInputMessage="1" showErrorMessage="1" sqref="E3:E14">
      <formula1>DropDownList</formula1>
    </dataValidation>
  </dataValidations>
  <printOptions horizontalCentered="1"/>
  <pageMargins left="0.75" right="0.75" top="1" bottom="1" header="0.5" footer="0.5"/>
  <pageSetup fitToHeight="1" fitToWidth="1" horizontalDpi="600" verticalDpi="600" orientation="landscape" scale="90" r:id="rId2"/>
  <headerFooter alignWithMargins="0">
    <oddHeader>&amp;L&amp;F&amp;C&amp;A&amp;R&amp;D</oddHeader>
    <oddFooter>&amp;CPage &amp;P of &amp;N</oddFooter>
  </headerFooter>
  <drawing r:id="rId1"/>
</worksheet>
</file>

<file path=xl/worksheets/sheet49.xml><?xml version="1.0" encoding="utf-8"?>
<worksheet xmlns="http://schemas.openxmlformats.org/spreadsheetml/2006/main" xmlns:r="http://schemas.openxmlformats.org/officeDocument/2006/relationships">
  <sheetPr>
    <tabColor indexed="57"/>
    <pageSetUpPr fitToPage="1"/>
  </sheetPr>
  <dimension ref="A1:I44"/>
  <sheetViews>
    <sheetView showGridLines="0" zoomScale="70" zoomScaleNormal="70" workbookViewId="0" topLeftCell="A7">
      <selection activeCell="D29" sqref="D29:F30"/>
    </sheetView>
  </sheetViews>
  <sheetFormatPr defaultColWidth="9.140625" defaultRowHeight="12.75"/>
  <cols>
    <col min="1" max="1" width="3.140625" style="0" customWidth="1"/>
    <col min="3" max="3" width="4.57421875" style="0" customWidth="1"/>
    <col min="4" max="4" width="64.57421875" style="0" customWidth="1"/>
    <col min="5" max="5" width="5.28125" style="0" customWidth="1"/>
    <col min="6" max="6" width="8.7109375" style="0" customWidth="1"/>
    <col min="7" max="7" width="10.28125" style="0" bestFit="1" customWidth="1"/>
    <col min="8" max="8" width="10.7109375" style="0" bestFit="1" customWidth="1"/>
    <col min="9" max="9" width="3.140625" style="0" customWidth="1"/>
  </cols>
  <sheetData>
    <row r="1" spans="1:9" ht="13.5" thickBot="1">
      <c r="A1" s="150"/>
      <c r="B1" s="151" t="s">
        <v>204</v>
      </c>
      <c r="C1" s="151"/>
      <c r="D1" s="151"/>
      <c r="E1" s="151"/>
      <c r="F1" s="151"/>
      <c r="G1" s="152" t="s">
        <v>174</v>
      </c>
      <c r="H1" s="125" t="s">
        <v>161</v>
      </c>
      <c r="I1" s="150"/>
    </row>
    <row r="2" spans="1:9" s="172" customFormat="1" ht="39.75" thickBot="1" thickTop="1">
      <c r="A2" s="153"/>
      <c r="B2" s="140" t="s">
        <v>17</v>
      </c>
      <c r="C2" s="140"/>
      <c r="D2" s="142" t="s">
        <v>18</v>
      </c>
      <c r="E2" s="142" t="s">
        <v>177</v>
      </c>
      <c r="F2" s="176" t="s">
        <v>217</v>
      </c>
      <c r="G2" s="142" t="s">
        <v>38</v>
      </c>
      <c r="H2" s="142" t="s">
        <v>39</v>
      </c>
      <c r="I2" s="171"/>
    </row>
    <row r="3" spans="1:9" ht="13.5" thickTop="1">
      <c r="A3" s="154">
        <v>1</v>
      </c>
      <c r="B3" s="132" t="str">
        <f>'Assumptions (an)'!$G$31</f>
        <v>2006</v>
      </c>
      <c r="C3" s="145"/>
      <c r="D3" s="145"/>
      <c r="E3" s="145"/>
      <c r="F3" s="177"/>
      <c r="G3" s="167"/>
      <c r="H3" s="167"/>
      <c r="I3" s="155">
        <f aca="true" t="shared" si="0" ref="I3:I44">A3</f>
        <v>1</v>
      </c>
    </row>
    <row r="4" spans="1:9" ht="12.75">
      <c r="A4" s="156">
        <v>2</v>
      </c>
      <c r="B4" s="132" t="str">
        <f>'Assumptions (an)'!$G$32</f>
        <v>Jan.</v>
      </c>
      <c r="C4" s="132">
        <v>7</v>
      </c>
      <c r="D4" s="132" t="s">
        <v>120</v>
      </c>
      <c r="E4" s="132">
        <f>'Ledgers (an)'!H37</f>
        <v>115</v>
      </c>
      <c r="F4" s="178"/>
      <c r="G4" s="168">
        <v>98</v>
      </c>
      <c r="H4" s="168"/>
      <c r="I4" s="157">
        <f t="shared" si="0"/>
        <v>2</v>
      </c>
    </row>
    <row r="5" spans="1:9" ht="12.75">
      <c r="A5" s="156">
        <v>3</v>
      </c>
      <c r="B5" s="132"/>
      <c r="C5" s="132"/>
      <c r="D5" s="173" t="s">
        <v>218</v>
      </c>
      <c r="E5" s="132">
        <f>'Ledgers (an)'!H73</f>
        <v>212</v>
      </c>
      <c r="F5" s="179" t="s">
        <v>209</v>
      </c>
      <c r="G5" s="168"/>
      <c r="H5" s="168">
        <f>G4</f>
        <v>98</v>
      </c>
      <c r="I5" s="157">
        <f t="shared" si="0"/>
        <v>3</v>
      </c>
    </row>
    <row r="6" spans="1:9" ht="25.5">
      <c r="A6" s="156">
        <v>4</v>
      </c>
      <c r="B6" s="132"/>
      <c r="C6" s="132"/>
      <c r="D6" s="175" t="s">
        <v>219</v>
      </c>
      <c r="E6" s="132"/>
      <c r="F6" s="178"/>
      <c r="G6" s="168"/>
      <c r="H6" s="168"/>
      <c r="I6" s="157">
        <f t="shared" si="0"/>
        <v>4</v>
      </c>
    </row>
    <row r="7" spans="1:9" ht="12.75">
      <c r="A7" s="156">
        <v>5</v>
      </c>
      <c r="B7" s="132"/>
      <c r="C7" s="132"/>
      <c r="D7" s="132"/>
      <c r="E7" s="132"/>
      <c r="F7" s="178"/>
      <c r="G7" s="168"/>
      <c r="H7" s="168"/>
      <c r="I7" s="157">
        <f t="shared" si="0"/>
        <v>5</v>
      </c>
    </row>
    <row r="8" spans="1:9" ht="12.75">
      <c r="A8" s="156">
        <v>6</v>
      </c>
      <c r="B8" s="132"/>
      <c r="C8" s="132">
        <v>9</v>
      </c>
      <c r="D8" s="132" t="str">
        <f>'Assumptions (an)'!C18</f>
        <v>Sales Returns and Allowances</v>
      </c>
      <c r="E8" s="132">
        <f>'Ledgers (an)'!H181</f>
        <v>412</v>
      </c>
      <c r="F8" s="178"/>
      <c r="G8" s="168">
        <v>50</v>
      </c>
      <c r="H8" s="168"/>
      <c r="I8" s="157">
        <f t="shared" si="0"/>
        <v>6</v>
      </c>
    </row>
    <row r="9" spans="1:9" ht="12.75">
      <c r="A9" s="156">
        <v>7</v>
      </c>
      <c r="B9" s="132"/>
      <c r="C9" s="132"/>
      <c r="D9" s="173" t="s">
        <v>220</v>
      </c>
      <c r="E9" s="132">
        <f>'Ledgers (an)'!H13</f>
        <v>113</v>
      </c>
      <c r="F9" s="179" t="s">
        <v>209</v>
      </c>
      <c r="G9" s="168"/>
      <c r="H9" s="168">
        <f>G8</f>
        <v>50</v>
      </c>
      <c r="I9" s="157">
        <f t="shared" si="0"/>
        <v>7</v>
      </c>
    </row>
    <row r="10" spans="1:9" ht="12.75">
      <c r="A10" s="156">
        <v>8</v>
      </c>
      <c r="B10" s="132"/>
      <c r="C10" s="132"/>
      <c r="D10" s="175" t="s">
        <v>221</v>
      </c>
      <c r="E10" s="132"/>
      <c r="F10" s="178"/>
      <c r="G10" s="168"/>
      <c r="H10" s="168"/>
      <c r="I10" s="157">
        <f t="shared" si="0"/>
        <v>8</v>
      </c>
    </row>
    <row r="11" spans="1:9" ht="12.75">
      <c r="A11" s="156">
        <v>9</v>
      </c>
      <c r="B11" s="132"/>
      <c r="C11" s="132"/>
      <c r="D11" s="132"/>
      <c r="E11" s="132"/>
      <c r="F11" s="178"/>
      <c r="G11" s="168"/>
      <c r="H11" s="168"/>
      <c r="I11" s="157">
        <f t="shared" si="0"/>
        <v>9</v>
      </c>
    </row>
    <row r="12" spans="1:9" ht="12.75">
      <c r="A12" s="156">
        <v>10</v>
      </c>
      <c r="B12" s="132"/>
      <c r="C12" s="132">
        <v>23</v>
      </c>
      <c r="D12" s="132" t="s">
        <v>228</v>
      </c>
      <c r="E12" s="132">
        <f>'Ledgers (an)'!H73</f>
        <v>212</v>
      </c>
      <c r="F12" s="179" t="s">
        <v>209</v>
      </c>
      <c r="G12" s="168">
        <v>425</v>
      </c>
      <c r="H12" s="168"/>
      <c r="I12" s="157">
        <f t="shared" si="0"/>
        <v>10</v>
      </c>
    </row>
    <row r="13" spans="1:9" ht="12.75">
      <c r="A13" s="156">
        <v>11</v>
      </c>
      <c r="B13" s="132"/>
      <c r="C13" s="132"/>
      <c r="D13" s="173" t="str">
        <f>'Assumptions (an)'!C21</f>
        <v>Purchases Returns and Allowances</v>
      </c>
      <c r="E13" s="132">
        <f>'Ledgers (an)'!H217</f>
        <v>512</v>
      </c>
      <c r="F13" s="178"/>
      <c r="G13" s="168"/>
      <c r="H13" s="168">
        <f>G12</f>
        <v>425</v>
      </c>
      <c r="I13" s="157">
        <f t="shared" si="0"/>
        <v>11</v>
      </c>
    </row>
    <row r="14" spans="1:9" ht="25.5">
      <c r="A14" s="156">
        <v>12</v>
      </c>
      <c r="B14" s="132"/>
      <c r="C14" s="132"/>
      <c r="D14" s="175" t="s">
        <v>227</v>
      </c>
      <c r="E14" s="132"/>
      <c r="F14" s="178"/>
      <c r="G14" s="168"/>
      <c r="H14" s="168"/>
      <c r="I14" s="157">
        <f t="shared" si="0"/>
        <v>12</v>
      </c>
    </row>
    <row r="15" spans="1:9" ht="12.75">
      <c r="A15" s="156">
        <v>13</v>
      </c>
      <c r="B15" s="132"/>
      <c r="C15" s="132"/>
      <c r="D15" s="132"/>
      <c r="E15" s="132"/>
      <c r="F15" s="178"/>
      <c r="G15" s="168"/>
      <c r="H15" s="168"/>
      <c r="I15" s="157">
        <f t="shared" si="0"/>
        <v>13</v>
      </c>
    </row>
    <row r="16" spans="1:9" ht="12.75">
      <c r="A16" s="156">
        <v>14</v>
      </c>
      <c r="B16" s="132"/>
      <c r="C16" s="132">
        <v>31</v>
      </c>
      <c r="D16" s="132" t="str">
        <f>'Assumptions (an)'!C24</f>
        <v>Salaries Expense</v>
      </c>
      <c r="E16" s="132">
        <f>'Ledgers (an)'!H253</f>
        <v>521</v>
      </c>
      <c r="F16" s="178"/>
      <c r="G16" s="168">
        <v>6100</v>
      </c>
      <c r="H16" s="168"/>
      <c r="I16" s="157">
        <f t="shared" si="0"/>
        <v>14</v>
      </c>
    </row>
    <row r="17" spans="1:9" ht="12.75">
      <c r="A17" s="156">
        <v>15</v>
      </c>
      <c r="B17" s="132"/>
      <c r="C17" s="132"/>
      <c r="D17" s="173" t="str">
        <f>'Assumptions (an)'!C11</f>
        <v>Employees' Federal Tax Payable</v>
      </c>
      <c r="E17" s="132">
        <f>'Ledgers (an)'!H97</f>
        <v>216</v>
      </c>
      <c r="F17" s="178"/>
      <c r="G17" s="168"/>
      <c r="H17" s="168">
        <v>854</v>
      </c>
      <c r="I17" s="157">
        <f t="shared" si="0"/>
        <v>15</v>
      </c>
    </row>
    <row r="18" spans="1:9" ht="12.75">
      <c r="A18" s="156">
        <v>16</v>
      </c>
      <c r="B18" s="132"/>
      <c r="C18" s="132"/>
      <c r="D18" s="173" t="str">
        <f>'Assumptions (an)'!C12</f>
        <v>FICA Payable</v>
      </c>
      <c r="E18" s="132">
        <f>'Ledgers (an)'!H109</f>
        <v>217</v>
      </c>
      <c r="F18" s="178"/>
      <c r="G18" s="168"/>
      <c r="H18" s="168">
        <v>466.65</v>
      </c>
      <c r="I18" s="157">
        <f t="shared" si="0"/>
        <v>16</v>
      </c>
    </row>
    <row r="19" spans="1:9" ht="12.75">
      <c r="A19" s="156">
        <v>17</v>
      </c>
      <c r="B19" s="132"/>
      <c r="C19" s="132"/>
      <c r="D19" s="173" t="str">
        <f>'Assumptions (an)'!C10</f>
        <v>Salaries Payable</v>
      </c>
      <c r="E19" s="132">
        <f>'Ledgers (an)'!H85</f>
        <v>215</v>
      </c>
      <c r="F19" s="178"/>
      <c r="G19" s="168"/>
      <c r="H19" s="168">
        <f>G16-SUM(H17:H18)</f>
        <v>4779.35</v>
      </c>
      <c r="I19" s="157">
        <f t="shared" si="0"/>
        <v>17</v>
      </c>
    </row>
    <row r="20" spans="1:9" ht="12.75">
      <c r="A20" s="156">
        <v>18</v>
      </c>
      <c r="B20" s="132"/>
      <c r="C20" s="132"/>
      <c r="D20" s="174" t="s">
        <v>229</v>
      </c>
      <c r="E20" s="132"/>
      <c r="F20" s="178"/>
      <c r="G20" s="168"/>
      <c r="H20" s="168"/>
      <c r="I20" s="157">
        <f t="shared" si="0"/>
        <v>18</v>
      </c>
    </row>
    <row r="21" spans="1:9" ht="12.75">
      <c r="A21" s="156">
        <v>19</v>
      </c>
      <c r="B21" s="132"/>
      <c r="C21" s="132"/>
      <c r="D21" s="132"/>
      <c r="E21" s="132"/>
      <c r="F21" s="178"/>
      <c r="G21" s="168"/>
      <c r="H21" s="168"/>
      <c r="I21" s="157">
        <f t="shared" si="0"/>
        <v>19</v>
      </c>
    </row>
    <row r="22" spans="1:9" ht="12.75">
      <c r="A22" s="156">
        <v>20</v>
      </c>
      <c r="B22" s="132"/>
      <c r="C22" s="132">
        <f>C16</f>
        <v>31</v>
      </c>
      <c r="D22" s="132" t="str">
        <f>'Assumptions (an)'!C25</f>
        <v>Payroll Tax Expense</v>
      </c>
      <c r="E22" s="132">
        <f>'Ledgers (an)'!H265</f>
        <v>522</v>
      </c>
      <c r="F22" s="178"/>
      <c r="G22" s="168">
        <f>SUM(H23:H25)</f>
        <v>844.8499999999999</v>
      </c>
      <c r="H22" s="168"/>
      <c r="I22" s="157">
        <f t="shared" si="0"/>
        <v>20</v>
      </c>
    </row>
    <row r="23" spans="1:9" ht="12.75">
      <c r="A23" s="156">
        <v>21</v>
      </c>
      <c r="B23" s="132"/>
      <c r="C23" s="132"/>
      <c r="D23" s="173" t="str">
        <f>'Assumptions (an)'!C12</f>
        <v>FICA Payable</v>
      </c>
      <c r="E23" s="132">
        <f>'Ledgers (an)'!H109</f>
        <v>217</v>
      </c>
      <c r="F23" s="178"/>
      <c r="G23" s="168"/>
      <c r="H23" s="168">
        <v>466.65</v>
      </c>
      <c r="I23" s="157">
        <f t="shared" si="0"/>
        <v>21</v>
      </c>
    </row>
    <row r="24" spans="1:9" ht="12.75">
      <c r="A24" s="156">
        <v>22</v>
      </c>
      <c r="B24" s="132"/>
      <c r="C24" s="132"/>
      <c r="D24" s="173" t="str">
        <f>'Assumptions (an)'!C13</f>
        <v>SUTA Payable</v>
      </c>
      <c r="E24" s="132">
        <f>'Ledgers (an)'!H121</f>
        <v>218</v>
      </c>
      <c r="F24" s="178"/>
      <c r="G24" s="168"/>
      <c r="H24" s="168">
        <v>329.4</v>
      </c>
      <c r="I24" s="157">
        <f t="shared" si="0"/>
        <v>22</v>
      </c>
    </row>
    <row r="25" spans="1:9" ht="12.75">
      <c r="A25" s="156">
        <v>23</v>
      </c>
      <c r="B25" s="132"/>
      <c r="C25" s="132"/>
      <c r="D25" s="173" t="str">
        <f>'Assumptions (an)'!C14</f>
        <v>FUTA Payable</v>
      </c>
      <c r="E25" s="132">
        <f>'Ledgers (an)'!H133</f>
        <v>219</v>
      </c>
      <c r="F25" s="178"/>
      <c r="G25" s="168"/>
      <c r="H25" s="168">
        <v>48.8</v>
      </c>
      <c r="I25" s="157">
        <f t="shared" si="0"/>
        <v>23</v>
      </c>
    </row>
    <row r="26" spans="1:9" ht="12.75">
      <c r="A26" s="156">
        <v>24</v>
      </c>
      <c r="B26" s="132"/>
      <c r="C26" s="132"/>
      <c r="D26" s="174" t="s">
        <v>230</v>
      </c>
      <c r="E26" s="132"/>
      <c r="F26" s="178"/>
      <c r="G26" s="168"/>
      <c r="H26" s="168"/>
      <c r="I26" s="157">
        <f t="shared" si="0"/>
        <v>24</v>
      </c>
    </row>
    <row r="27" spans="1:9" ht="12.75">
      <c r="A27" s="156">
        <v>25</v>
      </c>
      <c r="B27" s="132"/>
      <c r="C27" s="132"/>
      <c r="D27" s="132"/>
      <c r="E27" s="132"/>
      <c r="F27" s="178"/>
      <c r="G27" s="168"/>
      <c r="H27" s="168"/>
      <c r="I27" s="157">
        <f t="shared" si="0"/>
        <v>25</v>
      </c>
    </row>
    <row r="28" spans="1:9" ht="12.75">
      <c r="A28" s="156">
        <v>26</v>
      </c>
      <c r="B28" s="132"/>
      <c r="C28" s="132"/>
      <c r="D28" s="132"/>
      <c r="E28" s="132"/>
      <c r="F28" s="178"/>
      <c r="G28" s="168"/>
      <c r="H28" s="168"/>
      <c r="I28" s="157">
        <f t="shared" si="0"/>
        <v>26</v>
      </c>
    </row>
    <row r="29" spans="1:9" ht="12.75">
      <c r="A29" s="156">
        <v>27</v>
      </c>
      <c r="B29" s="132"/>
      <c r="C29" s="132"/>
      <c r="D29" s="132"/>
      <c r="E29" s="132"/>
      <c r="F29" s="178"/>
      <c r="G29" s="168"/>
      <c r="H29" s="168"/>
      <c r="I29" s="157">
        <f t="shared" si="0"/>
        <v>27</v>
      </c>
    </row>
    <row r="30" spans="1:9" ht="12.75">
      <c r="A30" s="156">
        <v>28</v>
      </c>
      <c r="B30" s="132"/>
      <c r="C30" s="132"/>
      <c r="D30" s="132"/>
      <c r="E30" s="132"/>
      <c r="F30" s="178"/>
      <c r="G30" s="168"/>
      <c r="H30" s="168"/>
      <c r="I30" s="157">
        <f t="shared" si="0"/>
        <v>28</v>
      </c>
    </row>
    <row r="31" spans="1:9" ht="12.75">
      <c r="A31" s="156">
        <v>29</v>
      </c>
      <c r="B31" s="132"/>
      <c r="C31" s="132"/>
      <c r="D31" s="132"/>
      <c r="E31" s="132"/>
      <c r="F31" s="178"/>
      <c r="G31" s="168"/>
      <c r="H31" s="168"/>
      <c r="I31" s="157">
        <f t="shared" si="0"/>
        <v>29</v>
      </c>
    </row>
    <row r="32" spans="1:9" ht="12.75">
      <c r="A32" s="156">
        <v>30</v>
      </c>
      <c r="B32" s="132"/>
      <c r="C32" s="132"/>
      <c r="D32" s="132"/>
      <c r="E32" s="132"/>
      <c r="F32" s="178"/>
      <c r="G32" s="168"/>
      <c r="H32" s="168"/>
      <c r="I32" s="157">
        <f t="shared" si="0"/>
        <v>30</v>
      </c>
    </row>
    <row r="33" spans="1:9" ht="12.75">
      <c r="A33" s="156">
        <v>31</v>
      </c>
      <c r="B33" s="132"/>
      <c r="C33" s="132"/>
      <c r="D33" s="132"/>
      <c r="E33" s="132"/>
      <c r="F33" s="178"/>
      <c r="G33" s="168"/>
      <c r="H33" s="168"/>
      <c r="I33" s="157">
        <f t="shared" si="0"/>
        <v>31</v>
      </c>
    </row>
    <row r="34" spans="1:9" ht="12.75">
      <c r="A34" s="156">
        <v>32</v>
      </c>
      <c r="B34" s="132"/>
      <c r="C34" s="132"/>
      <c r="D34" s="132"/>
      <c r="E34" s="132"/>
      <c r="F34" s="178"/>
      <c r="G34" s="168"/>
      <c r="H34" s="168"/>
      <c r="I34" s="157">
        <f t="shared" si="0"/>
        <v>32</v>
      </c>
    </row>
    <row r="35" spans="1:9" ht="12.75">
      <c r="A35" s="156">
        <v>33</v>
      </c>
      <c r="B35" s="132"/>
      <c r="C35" s="132"/>
      <c r="D35" s="132"/>
      <c r="E35" s="132"/>
      <c r="F35" s="178"/>
      <c r="G35" s="168"/>
      <c r="H35" s="168"/>
      <c r="I35" s="157">
        <f t="shared" si="0"/>
        <v>33</v>
      </c>
    </row>
    <row r="36" spans="1:9" ht="12.75">
      <c r="A36" s="156">
        <v>34</v>
      </c>
      <c r="B36" s="132"/>
      <c r="C36" s="132"/>
      <c r="D36" s="132"/>
      <c r="E36" s="132"/>
      <c r="F36" s="178"/>
      <c r="G36" s="168"/>
      <c r="H36" s="168"/>
      <c r="I36" s="157">
        <f t="shared" si="0"/>
        <v>34</v>
      </c>
    </row>
    <row r="37" spans="1:9" ht="12.75">
      <c r="A37" s="156">
        <v>35</v>
      </c>
      <c r="B37" s="132"/>
      <c r="C37" s="132"/>
      <c r="D37" s="132"/>
      <c r="E37" s="132"/>
      <c r="F37" s="178"/>
      <c r="G37" s="168"/>
      <c r="H37" s="168"/>
      <c r="I37" s="157">
        <f t="shared" si="0"/>
        <v>35</v>
      </c>
    </row>
    <row r="38" spans="1:9" ht="12.75">
      <c r="A38" s="156">
        <v>36</v>
      </c>
      <c r="B38" s="132"/>
      <c r="C38" s="132"/>
      <c r="D38" s="132"/>
      <c r="E38" s="132"/>
      <c r="F38" s="178"/>
      <c r="G38" s="168"/>
      <c r="H38" s="168"/>
      <c r="I38" s="157">
        <f t="shared" si="0"/>
        <v>36</v>
      </c>
    </row>
    <row r="39" spans="1:9" ht="12.75">
      <c r="A39" s="156">
        <v>37</v>
      </c>
      <c r="B39" s="132"/>
      <c r="C39" s="132"/>
      <c r="D39" s="132"/>
      <c r="E39" s="132"/>
      <c r="F39" s="178"/>
      <c r="G39" s="168"/>
      <c r="H39" s="168"/>
      <c r="I39" s="157">
        <f t="shared" si="0"/>
        <v>37</v>
      </c>
    </row>
    <row r="40" spans="1:9" ht="12.75">
      <c r="A40" s="156">
        <v>38</v>
      </c>
      <c r="B40" s="132"/>
      <c r="C40" s="132"/>
      <c r="D40" s="132"/>
      <c r="E40" s="132"/>
      <c r="F40" s="178"/>
      <c r="G40" s="168"/>
      <c r="H40" s="168"/>
      <c r="I40" s="157">
        <f t="shared" si="0"/>
        <v>38</v>
      </c>
    </row>
    <row r="41" spans="1:9" ht="12.75">
      <c r="A41" s="156">
        <v>39</v>
      </c>
      <c r="B41" s="132"/>
      <c r="C41" s="132"/>
      <c r="D41" s="132"/>
      <c r="E41" s="132"/>
      <c r="F41" s="178"/>
      <c r="G41" s="168"/>
      <c r="H41" s="168"/>
      <c r="I41" s="157">
        <f t="shared" si="0"/>
        <v>39</v>
      </c>
    </row>
    <row r="42" spans="1:9" ht="12.75">
      <c r="A42" s="156">
        <v>40</v>
      </c>
      <c r="B42" s="132"/>
      <c r="C42" s="132"/>
      <c r="D42" s="132"/>
      <c r="E42" s="132"/>
      <c r="F42" s="178"/>
      <c r="G42" s="168"/>
      <c r="H42" s="168"/>
      <c r="I42" s="157">
        <f t="shared" si="0"/>
        <v>40</v>
      </c>
    </row>
    <row r="43" spans="1:9" ht="12.75">
      <c r="A43" s="156">
        <v>41</v>
      </c>
      <c r="B43" s="132"/>
      <c r="C43" s="132"/>
      <c r="D43" s="132"/>
      <c r="E43" s="132"/>
      <c r="F43" s="178"/>
      <c r="G43" s="168"/>
      <c r="H43" s="168"/>
      <c r="I43" s="157">
        <f t="shared" si="0"/>
        <v>41</v>
      </c>
    </row>
    <row r="44" spans="1:9" ht="12.75">
      <c r="A44" s="156">
        <v>42</v>
      </c>
      <c r="B44" s="132"/>
      <c r="C44" s="132"/>
      <c r="D44" s="132"/>
      <c r="E44" s="132"/>
      <c r="F44" s="178"/>
      <c r="G44" s="168"/>
      <c r="H44" s="168"/>
      <c r="I44" s="157">
        <f t="shared" si="0"/>
        <v>42</v>
      </c>
    </row>
  </sheetData>
  <dataValidations count="1">
    <dataValidation type="list" allowBlank="1" showInputMessage="1" showErrorMessage="1" sqref="H1">
      <formula1>JournalNo</formula1>
    </dataValidation>
  </dataValidations>
  <printOptions horizontalCentered="1"/>
  <pageMargins left="0.75" right="0.75" top="1" bottom="1" header="0.5" footer="0.5"/>
  <pageSetup fitToHeight="0" fitToWidth="1" horizontalDpi="600" verticalDpi="600" orientation="portrait" scale="76" r:id="rId2"/>
  <headerFooter alignWithMargins="0">
    <oddHeader>&amp;L&amp;F&amp;C&amp;A&amp;R&amp;D</oddHead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codeName="Sheet2">
    <tabColor indexed="46"/>
    <pageSetUpPr fitToPage="1"/>
  </sheetPr>
  <dimension ref="A2:N37"/>
  <sheetViews>
    <sheetView zoomScale="85" zoomScaleNormal="85" workbookViewId="0" topLeftCell="A1">
      <selection activeCell="A1" sqref="A1"/>
    </sheetView>
  </sheetViews>
  <sheetFormatPr defaultColWidth="9.140625" defaultRowHeight="12.75"/>
  <cols>
    <col min="1" max="1" width="9.140625" style="29" customWidth="1"/>
    <col min="2" max="2" width="5.00390625" style="29" customWidth="1"/>
    <col min="3" max="3" width="10.00390625" style="29" customWidth="1"/>
    <col min="4" max="4" width="18.57421875" style="29" customWidth="1"/>
    <col min="5" max="5" width="9.140625" style="29" customWidth="1"/>
    <col min="6" max="6" width="6.00390625" style="29" customWidth="1"/>
    <col min="7" max="7" width="6.7109375" style="29" customWidth="1"/>
    <col min="8" max="8" width="9.140625" style="29" customWidth="1"/>
    <col min="9" max="9" width="1.7109375" style="29" customWidth="1"/>
    <col min="10" max="10" width="7.57421875" style="29" customWidth="1"/>
    <col min="11" max="11" width="1.7109375" style="29" customWidth="1"/>
    <col min="12" max="12" width="9.28125" style="29" customWidth="1"/>
    <col min="13" max="13" width="14.8515625" style="29" customWidth="1"/>
    <col min="14" max="14" width="5.00390625" style="29" customWidth="1"/>
    <col min="15" max="16384" width="9.140625" style="29" customWidth="1"/>
  </cols>
  <sheetData>
    <row r="2" spans="1:14" ht="12.75">
      <c r="A2" s="27" t="s">
        <v>23</v>
      </c>
      <c r="B2" s="28"/>
      <c r="C2" s="28"/>
      <c r="D2" s="28"/>
      <c r="E2" s="28"/>
      <c r="F2" s="28"/>
      <c r="G2" s="28"/>
      <c r="H2" s="28"/>
      <c r="I2" s="28"/>
      <c r="J2" s="28"/>
      <c r="K2" s="28"/>
      <c r="L2" s="28"/>
      <c r="M2" s="28"/>
      <c r="N2" s="28"/>
    </row>
    <row r="3" spans="1:14" ht="12.75" customHeight="1">
      <c r="A3" s="27" t="s">
        <v>50</v>
      </c>
      <c r="B3" s="28"/>
      <c r="C3" s="224" t="s">
        <v>93</v>
      </c>
      <c r="D3" s="224"/>
      <c r="E3" s="224"/>
      <c r="F3" s="224"/>
      <c r="G3" s="224"/>
      <c r="H3" s="224"/>
      <c r="I3" s="224"/>
      <c r="J3" s="224"/>
      <c r="K3" s="30"/>
      <c r="L3" s="31" t="s">
        <v>52</v>
      </c>
      <c r="M3" s="32">
        <v>4369</v>
      </c>
      <c r="N3" s="33"/>
    </row>
    <row r="4" spans="1:14" ht="12.75">
      <c r="A4" s="27" t="s">
        <v>21</v>
      </c>
      <c r="B4" s="28"/>
      <c r="C4" s="224"/>
      <c r="D4" s="224"/>
      <c r="E4" s="224"/>
      <c r="F4" s="224"/>
      <c r="G4" s="224"/>
      <c r="H4" s="224"/>
      <c r="I4" s="224"/>
      <c r="J4" s="224"/>
      <c r="K4" s="30"/>
      <c r="L4" s="31"/>
      <c r="M4" s="33"/>
      <c r="N4" s="33"/>
    </row>
    <row r="5" spans="1:14" ht="12.75">
      <c r="A5" s="27" t="s">
        <v>53</v>
      </c>
      <c r="B5" s="28"/>
      <c r="C5" s="224"/>
      <c r="D5" s="224"/>
      <c r="E5" s="224"/>
      <c r="F5" s="224"/>
      <c r="G5" s="224"/>
      <c r="H5" s="224"/>
      <c r="I5" s="224"/>
      <c r="J5" s="224"/>
      <c r="K5" s="28"/>
      <c r="L5" s="28"/>
      <c r="M5" s="28"/>
      <c r="N5" s="28"/>
    </row>
    <row r="6" spans="2:14" ht="13.5" thickBot="1">
      <c r="B6" s="28"/>
      <c r="C6" s="224"/>
      <c r="D6" s="224"/>
      <c r="E6" s="224"/>
      <c r="F6" s="224"/>
      <c r="G6" s="224"/>
      <c r="H6" s="224"/>
      <c r="I6" s="224"/>
      <c r="J6" s="224"/>
      <c r="K6" s="28"/>
      <c r="L6" s="28"/>
      <c r="M6" s="28"/>
      <c r="N6" s="28"/>
    </row>
    <row r="7" spans="2:14" ht="24.75" thickBot="1" thickTop="1">
      <c r="B7" s="28"/>
      <c r="C7" s="28"/>
      <c r="D7" s="28"/>
      <c r="E7" s="28"/>
      <c r="F7" s="28"/>
      <c r="G7" s="28"/>
      <c r="H7" s="28"/>
      <c r="I7" s="28"/>
      <c r="J7" s="28"/>
      <c r="K7" s="28"/>
      <c r="L7" s="28"/>
      <c r="M7" s="34" t="s">
        <v>54</v>
      </c>
      <c r="N7" s="28"/>
    </row>
    <row r="8" spans="2:14" ht="4.5" customHeight="1" thickTop="1">
      <c r="B8" s="28"/>
      <c r="C8" s="35"/>
      <c r="D8" s="35"/>
      <c r="E8" s="35"/>
      <c r="F8" s="35"/>
      <c r="G8" s="35"/>
      <c r="H8" s="35"/>
      <c r="I8" s="35"/>
      <c r="J8" s="35"/>
      <c r="K8" s="35"/>
      <c r="L8" s="35"/>
      <c r="M8" s="36"/>
      <c r="N8" s="37"/>
    </row>
    <row r="9" spans="2:14" ht="12.75">
      <c r="B9" s="28"/>
      <c r="C9" s="28"/>
      <c r="D9" s="28"/>
      <c r="E9" s="28"/>
      <c r="F9" s="28"/>
      <c r="G9" s="28"/>
      <c r="H9" s="28"/>
      <c r="I9" s="28"/>
      <c r="J9" s="28"/>
      <c r="K9" s="28"/>
      <c r="L9" s="28"/>
      <c r="M9" s="28"/>
      <c r="N9" s="28"/>
    </row>
    <row r="10" spans="2:14" ht="13.5" thickBot="1">
      <c r="B10" s="28"/>
      <c r="C10" s="28"/>
      <c r="D10" s="28"/>
      <c r="E10" s="28"/>
      <c r="F10" s="28"/>
      <c r="G10" s="28"/>
      <c r="H10" s="28"/>
      <c r="I10" s="28"/>
      <c r="J10" s="28"/>
      <c r="K10" s="28"/>
      <c r="L10" s="28"/>
      <c r="M10" s="28"/>
      <c r="N10" s="28"/>
    </row>
    <row r="11" spans="2:14" ht="13.5" thickBot="1">
      <c r="B11" s="28"/>
      <c r="C11" s="38" t="s">
        <v>55</v>
      </c>
      <c r="D11" s="39"/>
      <c r="E11" s="40"/>
      <c r="F11" s="40"/>
      <c r="G11" s="40"/>
      <c r="H11" s="40"/>
      <c r="I11" s="41"/>
      <c r="J11" s="28"/>
      <c r="K11" s="28"/>
      <c r="L11" s="38" t="s">
        <v>56</v>
      </c>
      <c r="M11" s="42"/>
      <c r="N11" s="28"/>
    </row>
    <row r="12" spans="2:14" ht="6" customHeight="1">
      <c r="B12" s="28"/>
      <c r="C12" s="28"/>
      <c r="D12" s="28"/>
      <c r="E12" s="28"/>
      <c r="F12" s="28"/>
      <c r="G12" s="28"/>
      <c r="H12" s="28"/>
      <c r="I12" s="43"/>
      <c r="J12" s="28"/>
      <c r="K12" s="28"/>
      <c r="L12" s="28"/>
      <c r="M12" s="44"/>
      <c r="N12" s="28"/>
    </row>
    <row r="13" spans="2:14" ht="12.75">
      <c r="B13" s="28"/>
      <c r="C13" s="28" t="s">
        <v>57</v>
      </c>
      <c r="D13" s="227" t="s">
        <v>94</v>
      </c>
      <c r="E13" s="227"/>
      <c r="F13" s="227"/>
      <c r="G13" s="227"/>
      <c r="H13" s="227"/>
      <c r="I13" s="43"/>
      <c r="J13" s="28"/>
      <c r="K13" s="28"/>
      <c r="L13" s="28" t="s">
        <v>17</v>
      </c>
      <c r="M13" s="45">
        <v>37675</v>
      </c>
      <c r="N13" s="46"/>
    </row>
    <row r="14" spans="2:14" ht="12.75">
      <c r="B14" s="28"/>
      <c r="C14" s="28" t="s">
        <v>59</v>
      </c>
      <c r="D14" s="228" t="s">
        <v>95</v>
      </c>
      <c r="E14" s="228"/>
      <c r="F14" s="228"/>
      <c r="G14" s="228"/>
      <c r="H14" s="228"/>
      <c r="I14" s="43"/>
      <c r="J14" s="28"/>
      <c r="K14" s="28"/>
      <c r="L14" s="28" t="s">
        <v>61</v>
      </c>
      <c r="M14" s="47"/>
      <c r="N14" s="48"/>
    </row>
    <row r="15" spans="2:14" ht="12.75">
      <c r="B15" s="28"/>
      <c r="C15" s="28" t="s">
        <v>62</v>
      </c>
      <c r="D15" s="49" t="s">
        <v>96</v>
      </c>
      <c r="E15" s="50" t="s">
        <v>64</v>
      </c>
      <c r="F15" s="51" t="s">
        <v>97</v>
      </c>
      <c r="G15" s="50" t="s">
        <v>66</v>
      </c>
      <c r="H15" s="51" t="s">
        <v>98</v>
      </c>
      <c r="I15" s="43"/>
      <c r="J15" s="28"/>
      <c r="K15" s="28"/>
      <c r="L15" s="28" t="s">
        <v>68</v>
      </c>
      <c r="M15" s="52"/>
      <c r="N15" s="28"/>
    </row>
    <row r="16" spans="2:14" ht="12.75">
      <c r="B16" s="28"/>
      <c r="C16" s="28" t="s">
        <v>69</v>
      </c>
      <c r="D16" s="227"/>
      <c r="E16" s="227"/>
      <c r="F16" s="227"/>
      <c r="G16" s="227"/>
      <c r="H16" s="227"/>
      <c r="I16" s="43"/>
      <c r="J16" s="28"/>
      <c r="K16" s="28"/>
      <c r="L16" s="28" t="s">
        <v>70</v>
      </c>
      <c r="M16" s="52" t="s">
        <v>99</v>
      </c>
      <c r="N16" s="28"/>
    </row>
    <row r="17" spans="2:14" ht="12.75">
      <c r="B17" s="28"/>
      <c r="C17" s="28"/>
      <c r="D17" s="28"/>
      <c r="E17" s="28"/>
      <c r="F17" s="28"/>
      <c r="G17" s="28"/>
      <c r="H17" s="28"/>
      <c r="I17" s="28"/>
      <c r="J17" s="28"/>
      <c r="K17" s="28"/>
      <c r="L17" s="28"/>
      <c r="M17" s="28"/>
      <c r="N17" s="28"/>
    </row>
    <row r="18" spans="2:14" ht="12.75">
      <c r="B18" s="28"/>
      <c r="C18" s="54" t="s">
        <v>72</v>
      </c>
      <c r="D18" s="229" t="s">
        <v>18</v>
      </c>
      <c r="E18" s="230"/>
      <c r="F18" s="230"/>
      <c r="G18" s="230"/>
      <c r="H18" s="230"/>
      <c r="I18" s="230"/>
      <c r="J18" s="230"/>
      <c r="K18" s="231"/>
      <c r="L18" s="54" t="s">
        <v>73</v>
      </c>
      <c r="M18" s="55" t="s">
        <v>74</v>
      </c>
      <c r="N18" s="56"/>
    </row>
    <row r="19" spans="2:14" ht="12.75">
      <c r="B19" s="28"/>
      <c r="C19" s="57">
        <v>15</v>
      </c>
      <c r="D19" s="232" t="s">
        <v>100</v>
      </c>
      <c r="E19" s="233"/>
      <c r="F19" s="233"/>
      <c r="G19" s="233"/>
      <c r="H19" s="233"/>
      <c r="I19" s="233"/>
      <c r="J19" s="233"/>
      <c r="K19" s="234"/>
      <c r="L19" s="58">
        <v>10</v>
      </c>
      <c r="M19" s="59">
        <f>IF(L19&lt;&gt;"",ROUND(L19*C19,2),"")</f>
        <v>150</v>
      </c>
      <c r="N19" s="56"/>
    </row>
    <row r="20" spans="2:14" ht="12.75">
      <c r="B20" s="28"/>
      <c r="C20" s="60">
        <v>8</v>
      </c>
      <c r="D20" s="221" t="s">
        <v>101</v>
      </c>
      <c r="E20" s="222"/>
      <c r="F20" s="222"/>
      <c r="G20" s="222"/>
      <c r="H20" s="222"/>
      <c r="I20" s="222"/>
      <c r="J20" s="222"/>
      <c r="K20" s="223"/>
      <c r="L20" s="61">
        <v>12.5</v>
      </c>
      <c r="M20" s="62">
        <f>IF(L20&lt;&gt;"",ROUND(L20*C20,2),"")</f>
        <v>100</v>
      </c>
      <c r="N20" s="56"/>
    </row>
    <row r="21" spans="2:14" ht="12.75">
      <c r="B21" s="28"/>
      <c r="C21" s="60"/>
      <c r="D21" s="221"/>
      <c r="E21" s="222"/>
      <c r="F21" s="222"/>
      <c r="G21" s="222"/>
      <c r="H21" s="222"/>
      <c r="I21" s="222"/>
      <c r="J21" s="222"/>
      <c r="K21" s="223"/>
      <c r="L21" s="61"/>
      <c r="M21" s="62">
        <f>IF(L21&lt;&gt;"",ROUND(L21*C21,2),"")</f>
      </c>
      <c r="N21" s="56"/>
    </row>
    <row r="22" spans="2:14" ht="12.75">
      <c r="B22" s="28"/>
      <c r="C22" s="63"/>
      <c r="D22" s="249" t="s">
        <v>102</v>
      </c>
      <c r="E22" s="250"/>
      <c r="F22" s="250"/>
      <c r="G22" s="250"/>
      <c r="H22" s="250"/>
      <c r="I22" s="250"/>
      <c r="J22" s="250"/>
      <c r="K22" s="251"/>
      <c r="L22" s="66"/>
      <c r="M22" s="67">
        <f>IF(L22&lt;&gt;"",ROUND(L22*C22,2),"")</f>
      </c>
      <c r="N22" s="56"/>
    </row>
    <row r="23" spans="2:14" ht="12.75">
      <c r="B23" s="28"/>
      <c r="C23" s="28"/>
      <c r="D23" s="28"/>
      <c r="E23" s="28"/>
      <c r="F23" s="28"/>
      <c r="G23" s="28"/>
      <c r="H23" s="28"/>
      <c r="I23" s="28"/>
      <c r="J23" s="28"/>
      <c r="K23" s="28"/>
      <c r="L23" s="68" t="s">
        <v>77</v>
      </c>
      <c r="M23" s="69">
        <f>IF(SUM(M19:M22)&gt;0,SUM(M19:M22),"")</f>
        <v>250</v>
      </c>
      <c r="N23" s="56"/>
    </row>
    <row r="24" spans="2:14" ht="13.5" thickBot="1">
      <c r="B24" s="28"/>
      <c r="C24" s="28"/>
      <c r="D24" s="28"/>
      <c r="E24" s="28"/>
      <c r="F24" s="28"/>
      <c r="G24" s="28"/>
      <c r="H24" s="28"/>
      <c r="I24" s="28"/>
      <c r="J24" s="28"/>
      <c r="K24" s="28"/>
      <c r="L24" s="68" t="s">
        <v>78</v>
      </c>
      <c r="M24" s="70"/>
      <c r="N24" s="56"/>
    </row>
    <row r="25" spans="2:14" ht="13.5" thickBot="1">
      <c r="B25" s="28"/>
      <c r="C25" s="38" t="s">
        <v>79</v>
      </c>
      <c r="D25" s="71" t="s">
        <v>80</v>
      </c>
      <c r="E25" s="40"/>
      <c r="F25" s="40"/>
      <c r="G25" s="41"/>
      <c r="H25" s="72"/>
      <c r="I25" s="72"/>
      <c r="J25" s="50" t="s">
        <v>81</v>
      </c>
      <c r="K25" s="68"/>
      <c r="L25" s="73"/>
      <c r="M25" s="74">
        <f>IF(AND(L25&lt;&gt;"",$M$23&lt;&gt;""),ROUND(L25*$M$23,2),"")</f>
      </c>
      <c r="N25" s="56"/>
    </row>
    <row r="26" spans="2:14" ht="12.75">
      <c r="B26" s="28"/>
      <c r="C26" s="75"/>
      <c r="D26" s="225"/>
      <c r="E26" s="225"/>
      <c r="F26" s="225"/>
      <c r="G26" s="76"/>
      <c r="H26" s="72"/>
      <c r="I26" s="72"/>
      <c r="J26" s="28"/>
      <c r="K26" s="28"/>
      <c r="L26" s="77"/>
      <c r="M26" s="74">
        <f>IF(L26&lt;&gt;"",ROUND(L26*$M$23,2),"")</f>
      </c>
      <c r="N26" s="56"/>
    </row>
    <row r="27" spans="2:14" ht="12.75">
      <c r="B27" s="28"/>
      <c r="C27" s="68" t="s">
        <v>82</v>
      </c>
      <c r="D27" s="226"/>
      <c r="E27" s="226"/>
      <c r="F27" s="226"/>
      <c r="G27" s="76"/>
      <c r="H27" s="78"/>
      <c r="I27" s="78"/>
      <c r="J27" s="28"/>
      <c r="K27" s="28"/>
      <c r="L27" s="31" t="s">
        <v>83</v>
      </c>
      <c r="M27" s="79">
        <f>IF(M23&lt;&gt;"",SUM(M23:M26),"")</f>
        <v>250</v>
      </c>
      <c r="N27" s="56"/>
    </row>
    <row r="28" spans="2:14" ht="12.75">
      <c r="B28" s="28"/>
      <c r="C28" s="68" t="s">
        <v>57</v>
      </c>
      <c r="D28" s="238"/>
      <c r="E28" s="238"/>
      <c r="F28" s="238"/>
      <c r="G28" s="43"/>
      <c r="H28" s="78"/>
      <c r="I28" s="78"/>
      <c r="J28" s="28"/>
      <c r="K28" s="28"/>
      <c r="L28" s="28"/>
      <c r="M28" s="28"/>
      <c r="N28" s="56"/>
    </row>
    <row r="29" spans="2:14" ht="12.75">
      <c r="B29" s="28"/>
      <c r="C29" s="68" t="s">
        <v>84</v>
      </c>
      <c r="D29" s="239"/>
      <c r="E29" s="239"/>
      <c r="F29" s="239"/>
      <c r="G29" s="43"/>
      <c r="H29" s="80"/>
      <c r="I29" s="80"/>
      <c r="J29" s="240" t="s">
        <v>85</v>
      </c>
      <c r="K29" s="241"/>
      <c r="L29" s="241"/>
      <c r="M29" s="242"/>
      <c r="N29" s="56"/>
    </row>
    <row r="30" spans="2:14" ht="12.75">
      <c r="B30" s="28"/>
      <c r="C30" s="68" t="s">
        <v>86</v>
      </c>
      <c r="D30" s="248"/>
      <c r="E30" s="248"/>
      <c r="F30" s="248"/>
      <c r="G30" s="43"/>
      <c r="H30" s="80"/>
      <c r="I30" s="80"/>
      <c r="J30" s="243"/>
      <c r="K30" s="244"/>
      <c r="L30" s="245"/>
      <c r="M30" s="215"/>
      <c r="N30" s="56"/>
    </row>
    <row r="31" spans="2:14" ht="12.75">
      <c r="B31" s="28"/>
      <c r="C31" s="28"/>
      <c r="D31" s="28"/>
      <c r="E31" s="28"/>
      <c r="F31" s="28"/>
      <c r="G31" s="28"/>
      <c r="H31" s="80"/>
      <c r="I31" s="80"/>
      <c r="J31" s="216"/>
      <c r="K31" s="246"/>
      <c r="L31" s="246"/>
      <c r="M31" s="247"/>
      <c r="N31" s="56"/>
    </row>
    <row r="32" spans="2:14" ht="12.75">
      <c r="B32" s="28"/>
      <c r="C32" s="28"/>
      <c r="D32" s="28"/>
      <c r="E32" s="28"/>
      <c r="F32" s="28"/>
      <c r="G32" s="28"/>
      <c r="H32" s="28"/>
      <c r="I32" s="28"/>
      <c r="J32" s="28"/>
      <c r="K32" s="28"/>
      <c r="L32" s="28"/>
      <c r="M32" s="28"/>
      <c r="N32" s="56"/>
    </row>
    <row r="33" spans="2:14" ht="12.75" customHeight="1">
      <c r="B33" s="28"/>
      <c r="C33" s="252" t="s">
        <v>103</v>
      </c>
      <c r="D33" s="235"/>
      <c r="E33" s="235"/>
      <c r="F33" s="235"/>
      <c r="G33" s="235"/>
      <c r="H33" s="235"/>
      <c r="I33" s="235"/>
      <c r="J33" s="235"/>
      <c r="K33" s="235"/>
      <c r="L33" s="235"/>
      <c r="M33" s="253"/>
      <c r="N33" s="56"/>
    </row>
    <row r="34" spans="2:14" ht="13.5" thickBot="1">
      <c r="B34" s="28"/>
      <c r="C34" s="254"/>
      <c r="D34" s="224"/>
      <c r="E34" s="224"/>
      <c r="F34" s="224"/>
      <c r="G34" s="224"/>
      <c r="H34" s="224"/>
      <c r="I34" s="224"/>
      <c r="J34" s="224"/>
      <c r="K34" s="224"/>
      <c r="L34" s="224"/>
      <c r="M34" s="255"/>
      <c r="N34" s="56"/>
    </row>
    <row r="35" spans="2:14" ht="13.5" thickTop="1">
      <c r="B35" s="28"/>
      <c r="C35" s="35"/>
      <c r="D35" s="81"/>
      <c r="E35" s="81"/>
      <c r="F35" s="81"/>
      <c r="G35" s="81"/>
      <c r="H35" s="81"/>
      <c r="I35" s="81"/>
      <c r="J35" s="81"/>
      <c r="K35" s="81"/>
      <c r="L35" s="81"/>
      <c r="M35" s="35"/>
      <c r="N35" s="56"/>
    </row>
    <row r="36" spans="2:14" ht="12.75">
      <c r="B36" s="28"/>
      <c r="C36" s="28"/>
      <c r="D36" s="235"/>
      <c r="E36" s="236"/>
      <c r="F36" s="236"/>
      <c r="G36" s="236"/>
      <c r="H36" s="236"/>
      <c r="I36" s="236"/>
      <c r="J36" s="236"/>
      <c r="K36" s="236"/>
      <c r="L36" s="236"/>
      <c r="M36" s="28"/>
      <c r="N36" s="56"/>
    </row>
    <row r="37" spans="2:14" ht="12.75">
      <c r="B37" s="28"/>
      <c r="C37" s="28"/>
      <c r="D37" s="237"/>
      <c r="E37" s="237"/>
      <c r="F37" s="237"/>
      <c r="G37" s="237"/>
      <c r="H37" s="237"/>
      <c r="I37" s="237"/>
      <c r="J37" s="237"/>
      <c r="K37" s="237"/>
      <c r="L37" s="237"/>
      <c r="M37" s="28"/>
      <c r="N37" s="56"/>
    </row>
  </sheetData>
  <sheetProtection selectLockedCells="1"/>
  <mergeCells count="16">
    <mergeCell ref="D36:L37"/>
    <mergeCell ref="D28:F28"/>
    <mergeCell ref="D29:F29"/>
    <mergeCell ref="J29:M31"/>
    <mergeCell ref="C33:M34"/>
    <mergeCell ref="D30:F30"/>
    <mergeCell ref="C3:J6"/>
    <mergeCell ref="D26:F27"/>
    <mergeCell ref="D13:H13"/>
    <mergeCell ref="D14:H14"/>
    <mergeCell ref="D16:H16"/>
    <mergeCell ref="D18:K18"/>
    <mergeCell ref="D19:K19"/>
    <mergeCell ref="D20:K20"/>
    <mergeCell ref="D22:K22"/>
    <mergeCell ref="D21:K21"/>
  </mergeCells>
  <dataValidations count="12">
    <dataValidation errorStyle="warning" type="whole" allowBlank="1" showErrorMessage="1" promptTitle="Quantity" errorTitle="Quantity" error="You must enter a number in this cell." sqref="C19:C22">
      <formula1>0</formula1>
      <formula2>1000000000</formula2>
    </dataValidation>
    <dataValidation errorStyle="warning" allowBlank="1" showInputMessage="1" promptTitle="Credit Card Number" prompt="Enter the customer's credit card number in this space." errorTitle="Credit Card Number" sqref="D29:F29"/>
    <dataValidation errorStyle="warning" allowBlank="1" showInputMessage="1" promptTitle="Fine Print" prompt="Type any fine print (disclaimers, warranty information, etc.) here. If you do not wish to include any fine print information on your printed invoices, click on the box and use Edit|Clear|Contents to delete the text which says 'Insert Fine Print Here'." errorTitle="Fine Print" sqref="C33"/>
    <dataValidation errorStyle="warning" allowBlank="1" showInputMessage="1" promptTitle="Farewell Statement" prompt="Enter any parting message for your customers (company slogan, mission statement, etc.) If you do not want a parting message, use Edit|Clear|Contents to remove the existing text." errorTitle="Farewell Statement" sqref="D36:L36 D37:L37"/>
    <dataValidation errorStyle="warning" allowBlank="1" showInputMessage="1" promptTitle="State" prompt="Enter the state abbreviation into this cell." errorTitle="State" sqref="F15"/>
    <dataValidation errorStyle="warning" allowBlank="1" showInputMessage="1" promptTitle="Office Use Only" prompt="Use this block for any information not included elsewhere on this invoice. Either type it right into the sheet or write it into the block after printing." errorTitle="Office Use Only" sqref="J29:M31"/>
    <dataValidation type="decimal" allowBlank="1" showErrorMessage="1" promptTitle="Unit Price" errorTitle="Unit Price" error="You must enter a number into this cell." sqref="L19:L22">
      <formula1>0</formula1>
      <formula2>1000000000</formula2>
    </dataValidation>
    <dataValidation errorStyle="warning" allowBlank="1" showInputMessage="1" promptTitle="Shipping Charge" prompt="Please enter a shipping charge, if applicable." errorTitle="Shipping Charge" error="The shaded cells contain formulas and are automatically calculated by Excel. DO NOT enter any information into them." sqref="M24"/>
    <dataValidation allowBlank="1" showInputMessage="1" showErrorMessage="1" promptTitle="Tax Rate" prompt="To add a tax here, or to change the percentage associated with this tax, enter the tax rate in the cell to the left.  The tax rate will then be automatically calculated." sqref="L25:L26"/>
    <dataValidation type="list" showInputMessage="1" showErrorMessage="1" promptTitle="Payment:" prompt="Please select a payment type from the drop down list." sqref="D25">
      <formula1>$A$2:$A$5</formula1>
    </dataValidation>
    <dataValidation allowBlank="1" showInputMessage="1" showErrorMessage="1" promptTitle="Name" prompt="Enter the customer's name as it appears on the credit card." sqref="D28:F28"/>
    <dataValidation allowBlank="1" showInputMessage="1" showErrorMessage="1" promptTitle="Company Information" prompt="To enter multiple lines in a single cell, use Alt + Enter.&#10;&#10;You can also customize this template with your company information and then save it as a new template for future use.  See the help topics for more information on how to create custom templates." sqref="C3:J6"/>
  </dataValidations>
  <printOptions horizontalCentered="1" verticalCentered="1"/>
  <pageMargins left="0.5" right="0.5" top="0.5" bottom="0.5" header="0.5" footer="0.5"/>
  <pageSetup fitToHeight="1" fitToWidth="1" horizontalDpi="600" verticalDpi="600" orientation="portrait" scale="93" r:id="rId1"/>
</worksheet>
</file>

<file path=xl/worksheets/sheet50.xml><?xml version="1.0" encoding="utf-8"?>
<worksheet xmlns="http://schemas.openxmlformats.org/spreadsheetml/2006/main" xmlns:r="http://schemas.openxmlformats.org/officeDocument/2006/relationships">
  <sheetPr>
    <tabColor indexed="12"/>
    <pageSetUpPr fitToPage="1"/>
  </sheetPr>
  <dimension ref="A1:J299"/>
  <sheetViews>
    <sheetView showGridLines="0" workbookViewId="0" topLeftCell="A1">
      <selection activeCell="D29" sqref="D29:F30"/>
    </sheetView>
  </sheetViews>
  <sheetFormatPr defaultColWidth="9.140625" defaultRowHeight="12.75"/>
  <cols>
    <col min="1" max="1" width="2.7109375" style="0" customWidth="1"/>
    <col min="3" max="3" width="4.28125" style="0" customWidth="1"/>
    <col min="5" max="5" width="6.8515625" style="0" customWidth="1"/>
    <col min="6" max="9" width="13.28125" style="0" customWidth="1"/>
    <col min="10" max="10" width="2.7109375" style="0" customWidth="1"/>
  </cols>
  <sheetData>
    <row r="1" spans="1:10" ht="13.5" thickBot="1">
      <c r="A1" s="158" t="s">
        <v>205</v>
      </c>
      <c r="B1" s="158"/>
      <c r="C1" s="159" t="str">
        <f>VLOOKUP(H1,AccNames,2,0)</f>
        <v>Cash</v>
      </c>
      <c r="D1" s="158"/>
      <c r="E1" s="158"/>
      <c r="F1" s="158"/>
      <c r="G1" s="158" t="s">
        <v>206</v>
      </c>
      <c r="H1" s="159">
        <f>'Assumptions (an)'!B3</f>
        <v>111</v>
      </c>
      <c r="I1" s="158"/>
      <c r="J1" s="158"/>
    </row>
    <row r="2" spans="1:10" ht="14.25" thickBot="1" thickTop="1">
      <c r="A2" s="258"/>
      <c r="B2" s="260" t="s">
        <v>17</v>
      </c>
      <c r="C2" s="261"/>
      <c r="D2" s="260" t="s">
        <v>207</v>
      </c>
      <c r="E2" s="260" t="s">
        <v>177</v>
      </c>
      <c r="F2" s="264" t="s">
        <v>38</v>
      </c>
      <c r="G2" s="264" t="s">
        <v>39</v>
      </c>
      <c r="H2" s="266" t="s">
        <v>208</v>
      </c>
      <c r="I2" s="267"/>
      <c r="J2" s="268"/>
    </row>
    <row r="3" spans="1:10" ht="13.5" thickTop="1">
      <c r="A3" s="259"/>
      <c r="B3" s="262"/>
      <c r="C3" s="263"/>
      <c r="D3" s="262"/>
      <c r="E3" s="262"/>
      <c r="F3" s="265"/>
      <c r="G3" s="265"/>
      <c r="H3" s="145" t="s">
        <v>38</v>
      </c>
      <c r="I3" s="145" t="s">
        <v>39</v>
      </c>
      <c r="J3" s="269"/>
    </row>
    <row r="4" spans="1:10" ht="12.75">
      <c r="A4" s="131"/>
      <c r="B4" s="132" t="str">
        <f>'Assumptions (an)'!$G$31</f>
        <v>2006</v>
      </c>
      <c r="C4" s="132"/>
      <c r="D4" s="132"/>
      <c r="E4" s="132"/>
      <c r="F4" s="160"/>
      <c r="G4" s="160"/>
      <c r="H4" s="160"/>
      <c r="I4" s="160"/>
      <c r="J4" s="133"/>
    </row>
    <row r="5" spans="1:10" ht="12.75">
      <c r="A5" s="131"/>
      <c r="B5" s="132" t="str">
        <f>'Assumptions (an)'!$G$32</f>
        <v>Jan.</v>
      </c>
      <c r="C5" s="180" t="str">
        <f>'Assumptions (an)'!$G$33</f>
        <v>1</v>
      </c>
      <c r="D5" s="132" t="s">
        <v>152</v>
      </c>
      <c r="E5" s="161" t="s">
        <v>209</v>
      </c>
      <c r="F5" s="160"/>
      <c r="G5" s="160"/>
      <c r="H5" s="160">
        <f>'Assumptions (an)'!D3</f>
        <v>8740</v>
      </c>
      <c r="I5" s="160"/>
      <c r="J5" s="133"/>
    </row>
    <row r="6" spans="1:10" ht="12.75">
      <c r="A6" s="131"/>
      <c r="B6" s="132"/>
      <c r="C6" s="132">
        <f>'Cash Rec. (an)'!C10</f>
        <v>31</v>
      </c>
      <c r="D6" s="132"/>
      <c r="E6" s="132" t="str">
        <f>'Cash Rec. (an)'!I1</f>
        <v>CR38</v>
      </c>
      <c r="F6" s="160">
        <f>'Cash Rec. (an)'!J10</f>
        <v>16749</v>
      </c>
      <c r="G6" s="160"/>
      <c r="H6" s="160">
        <f>H5+F6</f>
        <v>25489</v>
      </c>
      <c r="I6" s="160"/>
      <c r="J6" s="133"/>
    </row>
    <row r="7" spans="1:10" ht="12.75">
      <c r="A7" s="131"/>
      <c r="B7" s="132"/>
      <c r="C7" s="132">
        <f>'Cash Pay. (an)'!C12</f>
        <v>31</v>
      </c>
      <c r="D7" s="132"/>
      <c r="E7" s="132" t="str">
        <f>'Cash Pay. (an)'!I1</f>
        <v>CP45</v>
      </c>
      <c r="F7" s="160"/>
      <c r="G7" s="160">
        <f>'Cash Pay. (an)'!J12</f>
        <v>10083.55</v>
      </c>
      <c r="H7" s="160">
        <f>H6-G7</f>
        <v>15405.45</v>
      </c>
      <c r="I7" s="160"/>
      <c r="J7" s="133"/>
    </row>
    <row r="8" spans="1:10" ht="12.75">
      <c r="A8" s="131"/>
      <c r="B8" s="132"/>
      <c r="C8" s="132"/>
      <c r="D8" s="132"/>
      <c r="E8" s="132"/>
      <c r="F8" s="160"/>
      <c r="G8" s="160"/>
      <c r="H8" s="160"/>
      <c r="I8" s="160"/>
      <c r="J8" s="133"/>
    </row>
    <row r="9" spans="1:10" ht="12.75">
      <c r="A9" s="131"/>
      <c r="B9" s="132"/>
      <c r="C9" s="132"/>
      <c r="D9" s="132"/>
      <c r="E9" s="132"/>
      <c r="F9" s="160"/>
      <c r="G9" s="160"/>
      <c r="H9" s="160"/>
      <c r="I9" s="160"/>
      <c r="J9" s="133"/>
    </row>
    <row r="10" spans="1:10" ht="12.75">
      <c r="A10" s="131"/>
      <c r="B10" s="132"/>
      <c r="C10" s="132"/>
      <c r="D10" s="132"/>
      <c r="E10" s="132"/>
      <c r="F10" s="160"/>
      <c r="G10" s="160"/>
      <c r="H10" s="160"/>
      <c r="I10" s="160"/>
      <c r="J10" s="133"/>
    </row>
    <row r="11" spans="1:10" ht="12.75">
      <c r="A11" s="131"/>
      <c r="B11" s="132"/>
      <c r="C11" s="132"/>
      <c r="D11" s="132"/>
      <c r="E11" s="132"/>
      <c r="F11" s="160"/>
      <c r="G11" s="160"/>
      <c r="H11" s="160"/>
      <c r="I11" s="160"/>
      <c r="J11" s="133"/>
    </row>
    <row r="13" spans="1:10" ht="13.5" thickBot="1">
      <c r="A13" s="158" t="s">
        <v>205</v>
      </c>
      <c r="B13" s="158"/>
      <c r="C13" s="159" t="str">
        <f>VLOOKUP(H13,AccNames,2,0)</f>
        <v>Accounts Receivable</v>
      </c>
      <c r="D13" s="158"/>
      <c r="E13" s="158"/>
      <c r="F13" s="158"/>
      <c r="G13" s="158" t="s">
        <v>206</v>
      </c>
      <c r="H13" s="159">
        <f>'Assumptions (an)'!B4</f>
        <v>113</v>
      </c>
      <c r="I13" s="158"/>
      <c r="J13" s="158"/>
    </row>
    <row r="14" spans="1:10" ht="14.25" thickBot="1" thickTop="1">
      <c r="A14" s="258"/>
      <c r="B14" s="260" t="s">
        <v>17</v>
      </c>
      <c r="C14" s="261"/>
      <c r="D14" s="260" t="s">
        <v>207</v>
      </c>
      <c r="E14" s="260" t="s">
        <v>177</v>
      </c>
      <c r="F14" s="264" t="s">
        <v>38</v>
      </c>
      <c r="G14" s="264" t="s">
        <v>39</v>
      </c>
      <c r="H14" s="266" t="s">
        <v>208</v>
      </c>
      <c r="I14" s="267"/>
      <c r="J14" s="268"/>
    </row>
    <row r="15" spans="1:10" ht="13.5" thickTop="1">
      <c r="A15" s="259"/>
      <c r="B15" s="262"/>
      <c r="C15" s="263"/>
      <c r="D15" s="262"/>
      <c r="E15" s="262"/>
      <c r="F15" s="265"/>
      <c r="G15" s="265"/>
      <c r="H15" s="145" t="s">
        <v>38</v>
      </c>
      <c r="I15" s="145" t="s">
        <v>39</v>
      </c>
      <c r="J15" s="269"/>
    </row>
    <row r="16" spans="1:10" ht="12.75">
      <c r="A16" s="131"/>
      <c r="B16" s="132" t="str">
        <f>'Assumptions (an)'!$G$31</f>
        <v>2006</v>
      </c>
      <c r="C16" s="132"/>
      <c r="D16" s="132"/>
      <c r="E16" s="132"/>
      <c r="F16" s="160"/>
      <c r="G16" s="160"/>
      <c r="H16" s="160"/>
      <c r="I16" s="160"/>
      <c r="J16" s="133"/>
    </row>
    <row r="17" spans="1:10" ht="12.75">
      <c r="A17" s="131"/>
      <c r="B17" s="132" t="str">
        <f>'Assumptions (an)'!$G$32</f>
        <v>Jan.</v>
      </c>
      <c r="C17" s="180" t="str">
        <f>'Assumptions (an)'!$G$33</f>
        <v>1</v>
      </c>
      <c r="D17" s="132" t="s">
        <v>152</v>
      </c>
      <c r="E17" s="161" t="s">
        <v>209</v>
      </c>
      <c r="F17" s="160"/>
      <c r="G17" s="160"/>
      <c r="H17" s="160">
        <f>'Assumptions (an)'!D4</f>
        <v>1650</v>
      </c>
      <c r="I17" s="160"/>
      <c r="J17" s="133"/>
    </row>
    <row r="18" spans="1:10" ht="12.75">
      <c r="A18" s="131"/>
      <c r="B18" s="132"/>
      <c r="C18" s="132">
        <f>'General (an)'!C8</f>
        <v>9</v>
      </c>
      <c r="D18" s="132"/>
      <c r="E18" s="132" t="str">
        <f>'General (an)'!H1</f>
        <v>GL100</v>
      </c>
      <c r="F18" s="160"/>
      <c r="G18" s="160">
        <f>'General (an)'!H9</f>
        <v>50</v>
      </c>
      <c r="H18" s="160">
        <f>H17-G18</f>
        <v>1600</v>
      </c>
      <c r="I18" s="160"/>
      <c r="J18" s="133"/>
    </row>
    <row r="19" spans="1:10" ht="12.75">
      <c r="A19" s="131"/>
      <c r="B19" s="132"/>
      <c r="C19" s="132">
        <f>'Sales (an)'!C8</f>
        <v>31</v>
      </c>
      <c r="D19" s="132"/>
      <c r="E19" s="132" t="str">
        <f>'Sales (an)'!G1</f>
        <v>S73</v>
      </c>
      <c r="F19" s="160">
        <f>'Sales (an)'!G8</f>
        <v>5530</v>
      </c>
      <c r="G19" s="160"/>
      <c r="H19" s="160">
        <f>H18+F19</f>
        <v>7130</v>
      </c>
      <c r="I19" s="160"/>
      <c r="J19" s="133"/>
    </row>
    <row r="20" spans="1:10" ht="12.75">
      <c r="A20" s="131"/>
      <c r="B20" s="132"/>
      <c r="C20" s="132">
        <f>'Cash Rec. (an)'!C10</f>
        <v>31</v>
      </c>
      <c r="D20" s="132"/>
      <c r="E20" s="132" t="str">
        <f>'Cash Rec. (an)'!I1</f>
        <v>CR38</v>
      </c>
      <c r="F20" s="160"/>
      <c r="G20" s="160">
        <f>'Cash Rec. (an)'!G10</f>
        <v>1650</v>
      </c>
      <c r="H20" s="160">
        <f>H19-G20</f>
        <v>5480</v>
      </c>
      <c r="I20" s="160"/>
      <c r="J20" s="133"/>
    </row>
    <row r="21" spans="1:10" ht="12.75">
      <c r="A21" s="131"/>
      <c r="B21" s="132"/>
      <c r="C21" s="132"/>
      <c r="D21" s="132"/>
      <c r="E21" s="132"/>
      <c r="F21" s="160"/>
      <c r="G21" s="160"/>
      <c r="H21" s="160"/>
      <c r="I21" s="160"/>
      <c r="J21" s="133"/>
    </row>
    <row r="22" spans="1:10" ht="12.75">
      <c r="A22" s="131"/>
      <c r="B22" s="132"/>
      <c r="C22" s="132"/>
      <c r="D22" s="132"/>
      <c r="E22" s="132"/>
      <c r="F22" s="160"/>
      <c r="G22" s="160"/>
      <c r="H22" s="160"/>
      <c r="I22" s="160"/>
      <c r="J22" s="133"/>
    </row>
    <row r="23" spans="1:10" ht="12.75">
      <c r="A23" s="131"/>
      <c r="B23" s="132"/>
      <c r="C23" s="132"/>
      <c r="D23" s="132"/>
      <c r="E23" s="132"/>
      <c r="F23" s="160"/>
      <c r="G23" s="160"/>
      <c r="H23" s="160"/>
      <c r="I23" s="160"/>
      <c r="J23" s="133"/>
    </row>
    <row r="25" spans="1:10" ht="13.5" thickBot="1">
      <c r="A25" s="158" t="s">
        <v>205</v>
      </c>
      <c r="B25" s="158"/>
      <c r="C25" s="159" t="str">
        <f>VLOOKUP(H25,AccNames,2,0)</f>
        <v>Merchandise Inventory</v>
      </c>
      <c r="D25" s="158"/>
      <c r="E25" s="158"/>
      <c r="F25" s="158"/>
      <c r="G25" s="158" t="s">
        <v>206</v>
      </c>
      <c r="H25" s="159">
        <f>'Assumptions (an)'!B5</f>
        <v>114</v>
      </c>
      <c r="I25" s="158"/>
      <c r="J25" s="158"/>
    </row>
    <row r="26" spans="1:10" ht="14.25" thickBot="1" thickTop="1">
      <c r="A26" s="258"/>
      <c r="B26" s="260" t="s">
        <v>17</v>
      </c>
      <c r="C26" s="261"/>
      <c r="D26" s="260" t="s">
        <v>207</v>
      </c>
      <c r="E26" s="260" t="s">
        <v>177</v>
      </c>
      <c r="F26" s="264" t="s">
        <v>38</v>
      </c>
      <c r="G26" s="264" t="s">
        <v>39</v>
      </c>
      <c r="H26" s="266" t="s">
        <v>208</v>
      </c>
      <c r="I26" s="267"/>
      <c r="J26" s="268"/>
    </row>
    <row r="27" spans="1:10" ht="13.5" thickTop="1">
      <c r="A27" s="259"/>
      <c r="B27" s="262"/>
      <c r="C27" s="263"/>
      <c r="D27" s="262"/>
      <c r="E27" s="262"/>
      <c r="F27" s="265"/>
      <c r="G27" s="265"/>
      <c r="H27" s="145" t="s">
        <v>38</v>
      </c>
      <c r="I27" s="145" t="s">
        <v>39</v>
      </c>
      <c r="J27" s="269"/>
    </row>
    <row r="28" spans="1:10" ht="12.75">
      <c r="A28" s="131"/>
      <c r="B28" s="132" t="str">
        <f>'Assumptions (an)'!$G$31</f>
        <v>2006</v>
      </c>
      <c r="C28" s="132"/>
      <c r="D28" s="132"/>
      <c r="E28" s="132"/>
      <c r="F28" s="160"/>
      <c r="G28" s="160"/>
      <c r="H28" s="160"/>
      <c r="I28" s="160"/>
      <c r="J28" s="133"/>
    </row>
    <row r="29" spans="1:10" ht="12.75">
      <c r="A29" s="131"/>
      <c r="B29" s="132" t="str">
        <f>'Assumptions (an)'!$G$32</f>
        <v>Jan.</v>
      </c>
      <c r="C29" s="180" t="str">
        <f>'Assumptions (an)'!$G$33</f>
        <v>1</v>
      </c>
      <c r="D29" s="132" t="s">
        <v>152</v>
      </c>
      <c r="E29" s="161" t="s">
        <v>209</v>
      </c>
      <c r="F29" s="160"/>
      <c r="G29" s="160"/>
      <c r="H29" s="160">
        <f>'Assumptions (an)'!D5</f>
        <v>20584</v>
      </c>
      <c r="I29" s="160"/>
      <c r="J29" s="133"/>
    </row>
    <row r="30" spans="1:10" ht="12.75">
      <c r="A30" s="131"/>
      <c r="B30" s="132"/>
      <c r="C30" s="132"/>
      <c r="D30" s="132"/>
      <c r="E30" s="132"/>
      <c r="F30" s="160"/>
      <c r="G30" s="160"/>
      <c r="H30" s="160"/>
      <c r="I30" s="160"/>
      <c r="J30" s="133"/>
    </row>
    <row r="31" spans="1:10" ht="12.75">
      <c r="A31" s="131"/>
      <c r="B31" s="132"/>
      <c r="C31" s="132"/>
      <c r="D31" s="132"/>
      <c r="E31" s="132"/>
      <c r="F31" s="160"/>
      <c r="G31" s="160"/>
      <c r="H31" s="160"/>
      <c r="I31" s="160"/>
      <c r="J31" s="133"/>
    </row>
    <row r="32" spans="1:10" ht="12.75">
      <c r="A32" s="131"/>
      <c r="B32" s="132"/>
      <c r="C32" s="132"/>
      <c r="D32" s="132"/>
      <c r="E32" s="132"/>
      <c r="F32" s="160"/>
      <c r="G32" s="160"/>
      <c r="H32" s="160"/>
      <c r="I32" s="160"/>
      <c r="J32" s="133"/>
    </row>
    <row r="33" spans="1:10" ht="12.75">
      <c r="A33" s="131"/>
      <c r="B33" s="132"/>
      <c r="C33" s="132"/>
      <c r="D33" s="132"/>
      <c r="E33" s="132"/>
      <c r="F33" s="160"/>
      <c r="G33" s="160"/>
      <c r="H33" s="160"/>
      <c r="I33" s="160"/>
      <c r="J33" s="133"/>
    </row>
    <row r="34" spans="1:10" ht="12.75">
      <c r="A34" s="131"/>
      <c r="B34" s="132"/>
      <c r="C34" s="132"/>
      <c r="D34" s="132"/>
      <c r="E34" s="132"/>
      <c r="F34" s="160"/>
      <c r="G34" s="160"/>
      <c r="H34" s="160"/>
      <c r="I34" s="160"/>
      <c r="J34" s="133"/>
    </row>
    <row r="35" spans="1:10" ht="12.75">
      <c r="A35" s="131"/>
      <c r="B35" s="132"/>
      <c r="C35" s="132"/>
      <c r="D35" s="132"/>
      <c r="E35" s="132"/>
      <c r="F35" s="160"/>
      <c r="G35" s="160"/>
      <c r="H35" s="160"/>
      <c r="I35" s="160"/>
      <c r="J35" s="133"/>
    </row>
    <row r="37" spans="1:10" ht="13.5" thickBot="1">
      <c r="A37" s="158" t="s">
        <v>205</v>
      </c>
      <c r="B37" s="158"/>
      <c r="C37" s="159" t="str">
        <f>VLOOKUP(H37,AccNames,2,0)</f>
        <v>Supplies</v>
      </c>
      <c r="D37" s="158"/>
      <c r="E37" s="158"/>
      <c r="F37" s="158"/>
      <c r="G37" s="158" t="s">
        <v>206</v>
      </c>
      <c r="H37" s="159">
        <f>'Assumptions (an)'!B6</f>
        <v>115</v>
      </c>
      <c r="I37" s="158"/>
      <c r="J37" s="158"/>
    </row>
    <row r="38" spans="1:10" ht="14.25" thickBot="1" thickTop="1">
      <c r="A38" s="258"/>
      <c r="B38" s="260" t="s">
        <v>17</v>
      </c>
      <c r="C38" s="261"/>
      <c r="D38" s="260" t="s">
        <v>207</v>
      </c>
      <c r="E38" s="260" t="s">
        <v>177</v>
      </c>
      <c r="F38" s="264" t="s">
        <v>38</v>
      </c>
      <c r="G38" s="264" t="s">
        <v>39</v>
      </c>
      <c r="H38" s="266" t="s">
        <v>208</v>
      </c>
      <c r="I38" s="267"/>
      <c r="J38" s="268"/>
    </row>
    <row r="39" spans="1:10" ht="13.5" thickTop="1">
      <c r="A39" s="259"/>
      <c r="B39" s="262"/>
      <c r="C39" s="263"/>
      <c r="D39" s="262"/>
      <c r="E39" s="262"/>
      <c r="F39" s="265"/>
      <c r="G39" s="265"/>
      <c r="H39" s="145" t="s">
        <v>38</v>
      </c>
      <c r="I39" s="145" t="s">
        <v>39</v>
      </c>
      <c r="J39" s="269"/>
    </row>
    <row r="40" spans="1:10" ht="12.75">
      <c r="A40" s="131"/>
      <c r="B40" s="132" t="str">
        <f>'Assumptions (an)'!$G$31</f>
        <v>2006</v>
      </c>
      <c r="C40" s="132"/>
      <c r="D40" s="132"/>
      <c r="E40" s="132"/>
      <c r="F40" s="160"/>
      <c r="G40" s="160"/>
      <c r="H40" s="160"/>
      <c r="I40" s="160"/>
      <c r="J40" s="133"/>
    </row>
    <row r="41" spans="1:10" ht="12.75">
      <c r="A41" s="131"/>
      <c r="B41" s="132" t="str">
        <f>'Assumptions (an)'!$G$32</f>
        <v>Jan.</v>
      </c>
      <c r="C41" s="180" t="str">
        <f>'Assumptions (an)'!$G$33</f>
        <v>1</v>
      </c>
      <c r="D41" s="132" t="s">
        <v>152</v>
      </c>
      <c r="E41" s="161" t="s">
        <v>209</v>
      </c>
      <c r="F41" s="160"/>
      <c r="G41" s="160"/>
      <c r="H41" s="160">
        <f>'Assumptions (an)'!D6</f>
        <v>592</v>
      </c>
      <c r="I41" s="160"/>
      <c r="J41" s="133"/>
    </row>
    <row r="42" spans="1:10" ht="12.75">
      <c r="A42" s="131"/>
      <c r="B42" s="132"/>
      <c r="C42" s="132">
        <f>'General (an)'!C4</f>
        <v>7</v>
      </c>
      <c r="D42" s="132"/>
      <c r="E42" s="132" t="str">
        <f>'General (an)'!H1</f>
        <v>GL100</v>
      </c>
      <c r="F42" s="160">
        <f>'General (an)'!G4</f>
        <v>98</v>
      </c>
      <c r="G42" s="160"/>
      <c r="H42" s="160">
        <f>H41+F42</f>
        <v>690</v>
      </c>
      <c r="I42" s="160"/>
      <c r="J42" s="133"/>
    </row>
    <row r="43" spans="1:10" ht="12.75">
      <c r="A43" s="131"/>
      <c r="B43" s="132"/>
      <c r="C43" s="132"/>
      <c r="D43" s="132"/>
      <c r="E43" s="132"/>
      <c r="F43" s="160"/>
      <c r="G43" s="160"/>
      <c r="H43" s="160"/>
      <c r="I43" s="160"/>
      <c r="J43" s="133"/>
    </row>
    <row r="44" spans="1:10" ht="12.75">
      <c r="A44" s="131"/>
      <c r="B44" s="132"/>
      <c r="C44" s="132"/>
      <c r="D44" s="132"/>
      <c r="E44" s="132"/>
      <c r="F44" s="160"/>
      <c r="G44" s="160"/>
      <c r="H44" s="160"/>
      <c r="I44" s="160"/>
      <c r="J44" s="133"/>
    </row>
    <row r="45" spans="1:10" ht="12.75">
      <c r="A45" s="131"/>
      <c r="B45" s="132"/>
      <c r="C45" s="132"/>
      <c r="D45" s="132"/>
      <c r="E45" s="132"/>
      <c r="F45" s="160"/>
      <c r="G45" s="160"/>
      <c r="H45" s="160"/>
      <c r="I45" s="160"/>
      <c r="J45" s="133"/>
    </row>
    <row r="46" spans="1:10" ht="12.75">
      <c r="A46" s="131"/>
      <c r="B46" s="132"/>
      <c r="C46" s="132"/>
      <c r="D46" s="132"/>
      <c r="E46" s="132"/>
      <c r="F46" s="160"/>
      <c r="G46" s="160"/>
      <c r="H46" s="160"/>
      <c r="I46" s="160"/>
      <c r="J46" s="133"/>
    </row>
    <row r="47" spans="1:10" ht="12.75">
      <c r="A47" s="131"/>
      <c r="B47" s="132"/>
      <c r="C47" s="132"/>
      <c r="D47" s="132"/>
      <c r="E47" s="132"/>
      <c r="F47" s="160"/>
      <c r="G47" s="160"/>
      <c r="H47" s="160"/>
      <c r="I47" s="160"/>
      <c r="J47" s="133"/>
    </row>
    <row r="49" spans="1:10" ht="13.5" thickBot="1">
      <c r="A49" s="158" t="s">
        <v>205</v>
      </c>
      <c r="B49" s="158"/>
      <c r="C49" s="159" t="str">
        <f>VLOOKUP(H49,AccNames,2,0)</f>
        <v>Prepaid Insurance</v>
      </c>
      <c r="D49" s="158"/>
      <c r="E49" s="158"/>
      <c r="F49" s="158"/>
      <c r="G49" s="158" t="s">
        <v>206</v>
      </c>
      <c r="H49" s="159">
        <f>'Assumptions (an)'!B7</f>
        <v>116</v>
      </c>
      <c r="I49" s="158"/>
      <c r="J49" s="158"/>
    </row>
    <row r="50" spans="1:10" ht="14.25" thickBot="1" thickTop="1">
      <c r="A50" s="258"/>
      <c r="B50" s="260" t="s">
        <v>17</v>
      </c>
      <c r="C50" s="261"/>
      <c r="D50" s="260" t="s">
        <v>207</v>
      </c>
      <c r="E50" s="260" t="s">
        <v>177</v>
      </c>
      <c r="F50" s="264" t="s">
        <v>38</v>
      </c>
      <c r="G50" s="264" t="s">
        <v>39</v>
      </c>
      <c r="H50" s="266" t="s">
        <v>208</v>
      </c>
      <c r="I50" s="267"/>
      <c r="J50" s="268"/>
    </row>
    <row r="51" spans="1:10" ht="13.5" thickTop="1">
      <c r="A51" s="259"/>
      <c r="B51" s="262"/>
      <c r="C51" s="263"/>
      <c r="D51" s="262"/>
      <c r="E51" s="262"/>
      <c r="F51" s="265"/>
      <c r="G51" s="265"/>
      <c r="H51" s="145" t="s">
        <v>38</v>
      </c>
      <c r="I51" s="145" t="s">
        <v>39</v>
      </c>
      <c r="J51" s="269"/>
    </row>
    <row r="52" spans="1:10" ht="12.75">
      <c r="A52" s="131"/>
      <c r="B52" s="132" t="str">
        <f>'Assumptions (an)'!$G$31</f>
        <v>2006</v>
      </c>
      <c r="C52" s="132"/>
      <c r="D52" s="132"/>
      <c r="E52" s="132"/>
      <c r="F52" s="160"/>
      <c r="G52" s="160"/>
      <c r="H52" s="160"/>
      <c r="I52" s="160"/>
      <c r="J52" s="133"/>
    </row>
    <row r="53" spans="1:10" ht="12.75">
      <c r="A53" s="131"/>
      <c r="B53" s="132" t="str">
        <f>'Assumptions (an)'!$G$32</f>
        <v>Jan.</v>
      </c>
      <c r="C53" s="180" t="str">
        <f>'Assumptions (an)'!$G$33</f>
        <v>1</v>
      </c>
      <c r="D53" s="132" t="s">
        <v>152</v>
      </c>
      <c r="E53" s="161" t="s">
        <v>209</v>
      </c>
      <c r="F53" s="160"/>
      <c r="G53" s="160"/>
      <c r="H53" s="160">
        <f>'Assumptions (an)'!D7</f>
        <v>390</v>
      </c>
      <c r="I53" s="160"/>
      <c r="J53" s="133"/>
    </row>
    <row r="54" spans="1:10" ht="12.75">
      <c r="A54" s="131"/>
      <c r="B54" s="132"/>
      <c r="C54" s="132"/>
      <c r="D54" s="132"/>
      <c r="E54" s="132"/>
      <c r="F54" s="160"/>
      <c r="G54" s="160"/>
      <c r="H54" s="160"/>
      <c r="I54" s="160"/>
      <c r="J54" s="133"/>
    </row>
    <row r="55" spans="1:10" ht="12.75">
      <c r="A55" s="131"/>
      <c r="B55" s="132"/>
      <c r="C55" s="132"/>
      <c r="D55" s="132"/>
      <c r="E55" s="132"/>
      <c r="F55" s="160"/>
      <c r="G55" s="160"/>
      <c r="H55" s="160"/>
      <c r="I55" s="160"/>
      <c r="J55" s="133"/>
    </row>
    <row r="56" spans="1:10" ht="12.75">
      <c r="A56" s="131"/>
      <c r="B56" s="132"/>
      <c r="C56" s="132"/>
      <c r="D56" s="132"/>
      <c r="E56" s="132"/>
      <c r="F56" s="160"/>
      <c r="G56" s="160"/>
      <c r="H56" s="160"/>
      <c r="I56" s="160"/>
      <c r="J56" s="133"/>
    </row>
    <row r="57" spans="1:10" ht="12.75">
      <c r="A57" s="131"/>
      <c r="B57" s="132"/>
      <c r="C57" s="132"/>
      <c r="D57" s="132"/>
      <c r="E57" s="132"/>
      <c r="F57" s="160"/>
      <c r="G57" s="160"/>
      <c r="H57" s="160"/>
      <c r="I57" s="160"/>
      <c r="J57" s="133"/>
    </row>
    <row r="58" spans="1:10" ht="12.75">
      <c r="A58" s="131"/>
      <c r="B58" s="132"/>
      <c r="C58" s="132"/>
      <c r="D58" s="132"/>
      <c r="E58" s="132"/>
      <c r="F58" s="160"/>
      <c r="G58" s="160"/>
      <c r="H58" s="160"/>
      <c r="I58" s="160"/>
      <c r="J58" s="133"/>
    </row>
    <row r="59" spans="1:10" ht="12.75">
      <c r="A59" s="131"/>
      <c r="B59" s="132"/>
      <c r="C59" s="132"/>
      <c r="D59" s="132"/>
      <c r="E59" s="132"/>
      <c r="F59" s="160"/>
      <c r="G59" s="160"/>
      <c r="H59" s="160"/>
      <c r="I59" s="160"/>
      <c r="J59" s="133"/>
    </row>
    <row r="61" spans="1:10" ht="13.5" thickBot="1">
      <c r="A61" s="158" t="s">
        <v>205</v>
      </c>
      <c r="B61" s="158"/>
      <c r="C61" s="159" t="str">
        <f>VLOOKUP(H61,AccNames,2,0)</f>
        <v>Equipment</v>
      </c>
      <c r="D61" s="158"/>
      <c r="E61" s="158"/>
      <c r="F61" s="158"/>
      <c r="G61" s="158" t="s">
        <v>206</v>
      </c>
      <c r="H61" s="159">
        <f>'Assumptions (an)'!B8</f>
        <v>121</v>
      </c>
      <c r="I61" s="158"/>
      <c r="J61" s="158"/>
    </row>
    <row r="62" spans="1:10" ht="14.25" thickBot="1" thickTop="1">
      <c r="A62" s="258"/>
      <c r="B62" s="260" t="s">
        <v>17</v>
      </c>
      <c r="C62" s="261"/>
      <c r="D62" s="260" t="s">
        <v>207</v>
      </c>
      <c r="E62" s="260" t="s">
        <v>177</v>
      </c>
      <c r="F62" s="264" t="s">
        <v>38</v>
      </c>
      <c r="G62" s="264" t="s">
        <v>39</v>
      </c>
      <c r="H62" s="266" t="s">
        <v>208</v>
      </c>
      <c r="I62" s="267"/>
      <c r="J62" s="268"/>
    </row>
    <row r="63" spans="1:10" ht="13.5" thickTop="1">
      <c r="A63" s="259"/>
      <c r="B63" s="262"/>
      <c r="C63" s="263"/>
      <c r="D63" s="262"/>
      <c r="E63" s="262"/>
      <c r="F63" s="265"/>
      <c r="G63" s="265"/>
      <c r="H63" s="145" t="s">
        <v>38</v>
      </c>
      <c r="I63" s="145" t="s">
        <v>39</v>
      </c>
      <c r="J63" s="269"/>
    </row>
    <row r="64" spans="1:10" ht="12.75">
      <c r="A64" s="131"/>
      <c r="B64" s="132" t="str">
        <f>'Assumptions (an)'!$G$31</f>
        <v>2006</v>
      </c>
      <c r="C64" s="132"/>
      <c r="D64" s="132"/>
      <c r="E64" s="132"/>
      <c r="F64" s="160"/>
      <c r="G64" s="160"/>
      <c r="H64" s="160"/>
      <c r="I64" s="160"/>
      <c r="J64" s="133"/>
    </row>
    <row r="65" spans="1:10" ht="12.75">
      <c r="A65" s="131"/>
      <c r="B65" s="132" t="str">
        <f>'Assumptions (an)'!$G$32</f>
        <v>Jan.</v>
      </c>
      <c r="C65" s="180" t="str">
        <f>'Assumptions (an)'!$G$33</f>
        <v>1</v>
      </c>
      <c r="D65" s="132" t="s">
        <v>152</v>
      </c>
      <c r="E65" s="161" t="s">
        <v>209</v>
      </c>
      <c r="F65" s="160"/>
      <c r="G65" s="160"/>
      <c r="H65" s="160">
        <f>'Assumptions (an)'!D8</f>
        <v>3644</v>
      </c>
      <c r="I65" s="160"/>
      <c r="J65" s="133"/>
    </row>
    <row r="66" spans="1:10" ht="12.75">
      <c r="A66" s="131"/>
      <c r="B66" s="132"/>
      <c r="C66" s="132"/>
      <c r="D66" s="132"/>
      <c r="E66" s="132"/>
      <c r="F66" s="160"/>
      <c r="G66" s="160"/>
      <c r="H66" s="160"/>
      <c r="I66" s="160"/>
      <c r="J66" s="133"/>
    </row>
    <row r="67" spans="1:10" ht="12.75">
      <c r="A67" s="131"/>
      <c r="B67" s="132"/>
      <c r="C67" s="132"/>
      <c r="D67" s="132"/>
      <c r="E67" s="132"/>
      <c r="F67" s="160"/>
      <c r="G67" s="160"/>
      <c r="H67" s="160"/>
      <c r="I67" s="160"/>
      <c r="J67" s="133"/>
    </row>
    <row r="68" spans="1:10" ht="12.75">
      <c r="A68" s="131"/>
      <c r="B68" s="132"/>
      <c r="C68" s="132"/>
      <c r="D68" s="132"/>
      <c r="E68" s="132"/>
      <c r="F68" s="160"/>
      <c r="G68" s="160"/>
      <c r="H68" s="160"/>
      <c r="I68" s="160"/>
      <c r="J68" s="133"/>
    </row>
    <row r="69" spans="1:10" ht="12.75">
      <c r="A69" s="131"/>
      <c r="B69" s="132"/>
      <c r="C69" s="132"/>
      <c r="D69" s="132"/>
      <c r="E69" s="132"/>
      <c r="F69" s="160"/>
      <c r="G69" s="160"/>
      <c r="H69" s="160"/>
      <c r="I69" s="160"/>
      <c r="J69" s="133"/>
    </row>
    <row r="70" spans="1:10" ht="12.75">
      <c r="A70" s="131"/>
      <c r="B70" s="132"/>
      <c r="C70" s="132"/>
      <c r="D70" s="132"/>
      <c r="E70" s="132"/>
      <c r="F70" s="160"/>
      <c r="G70" s="160"/>
      <c r="H70" s="160"/>
      <c r="I70" s="160"/>
      <c r="J70" s="133"/>
    </row>
    <row r="71" spans="1:10" ht="12.75">
      <c r="A71" s="131"/>
      <c r="B71" s="132"/>
      <c r="C71" s="132"/>
      <c r="D71" s="132"/>
      <c r="E71" s="132"/>
      <c r="F71" s="160"/>
      <c r="G71" s="160"/>
      <c r="H71" s="160"/>
      <c r="I71" s="160"/>
      <c r="J71" s="133"/>
    </row>
    <row r="73" spans="1:10" ht="13.5" thickBot="1">
      <c r="A73" s="158" t="s">
        <v>205</v>
      </c>
      <c r="B73" s="158"/>
      <c r="C73" s="159" t="str">
        <f>VLOOKUP(H73,AccNames,2,0)</f>
        <v>Accounts Payable</v>
      </c>
      <c r="D73" s="158"/>
      <c r="E73" s="158"/>
      <c r="F73" s="158"/>
      <c r="G73" s="158" t="s">
        <v>206</v>
      </c>
      <c r="H73" s="159">
        <f>'Assumptions (an)'!B9</f>
        <v>212</v>
      </c>
      <c r="I73" s="158"/>
      <c r="J73" s="158"/>
    </row>
    <row r="74" spans="1:10" ht="14.25" thickBot="1" thickTop="1">
      <c r="A74" s="258"/>
      <c r="B74" s="260" t="s">
        <v>17</v>
      </c>
      <c r="C74" s="261"/>
      <c r="D74" s="260" t="s">
        <v>207</v>
      </c>
      <c r="E74" s="260" t="s">
        <v>177</v>
      </c>
      <c r="F74" s="264" t="s">
        <v>38</v>
      </c>
      <c r="G74" s="264" t="s">
        <v>39</v>
      </c>
      <c r="H74" s="266" t="s">
        <v>208</v>
      </c>
      <c r="I74" s="267"/>
      <c r="J74" s="268"/>
    </row>
    <row r="75" spans="1:10" ht="13.5" thickTop="1">
      <c r="A75" s="259"/>
      <c r="B75" s="262"/>
      <c r="C75" s="263"/>
      <c r="D75" s="262"/>
      <c r="E75" s="262"/>
      <c r="F75" s="265"/>
      <c r="G75" s="265"/>
      <c r="H75" s="145" t="s">
        <v>38</v>
      </c>
      <c r="I75" s="145" t="s">
        <v>39</v>
      </c>
      <c r="J75" s="269"/>
    </row>
    <row r="76" spans="1:10" ht="12.75">
      <c r="A76" s="131"/>
      <c r="B76" s="132" t="str">
        <f>'Assumptions (an)'!$G$31</f>
        <v>2006</v>
      </c>
      <c r="C76" s="132"/>
      <c r="D76" s="132"/>
      <c r="E76" s="132"/>
      <c r="F76" s="160"/>
      <c r="G76" s="160"/>
      <c r="H76" s="160"/>
      <c r="I76" s="160"/>
      <c r="J76" s="133"/>
    </row>
    <row r="77" spans="1:10" ht="12.75">
      <c r="A77" s="131"/>
      <c r="B77" s="132" t="str">
        <f>'Assumptions (an)'!$G$32</f>
        <v>Jan.</v>
      </c>
      <c r="C77" s="180" t="str">
        <f>'Assumptions (an)'!$G$33</f>
        <v>1</v>
      </c>
      <c r="D77" s="132" t="s">
        <v>152</v>
      </c>
      <c r="E77" s="161" t="s">
        <v>209</v>
      </c>
      <c r="F77" s="160"/>
      <c r="G77" s="160"/>
      <c r="H77" s="160"/>
      <c r="I77" s="160">
        <f>'Assumptions (an)'!E9</f>
        <v>600</v>
      </c>
      <c r="J77" s="133"/>
    </row>
    <row r="78" spans="1:10" ht="12.75">
      <c r="A78" s="131"/>
      <c r="B78" s="132"/>
      <c r="C78" s="132">
        <f>'General (an)'!C4</f>
        <v>7</v>
      </c>
      <c r="D78" s="132"/>
      <c r="E78" s="132" t="str">
        <f>'General (an)'!H1</f>
        <v>GL100</v>
      </c>
      <c r="F78" s="160"/>
      <c r="G78" s="160">
        <f>'General (an)'!H5</f>
        <v>98</v>
      </c>
      <c r="H78" s="160"/>
      <c r="I78" s="160">
        <f>I77+G78</f>
        <v>698</v>
      </c>
      <c r="J78" s="133"/>
    </row>
    <row r="79" spans="1:10" ht="12.75">
      <c r="A79" s="131"/>
      <c r="B79" s="132"/>
      <c r="C79" s="132">
        <f>'General (an)'!C12</f>
        <v>23</v>
      </c>
      <c r="D79" s="132"/>
      <c r="E79" s="132" t="str">
        <f>'General (an)'!H1</f>
        <v>GL100</v>
      </c>
      <c r="F79" s="160">
        <f>'General (an)'!G12</f>
        <v>425</v>
      </c>
      <c r="G79" s="160"/>
      <c r="H79" s="160"/>
      <c r="I79" s="160">
        <f>I78-F79</f>
        <v>273</v>
      </c>
      <c r="J79" s="133"/>
    </row>
    <row r="80" spans="1:10" ht="12.75">
      <c r="A80" s="131"/>
      <c r="B80" s="132"/>
      <c r="C80" s="132">
        <f>'Purchase (an)'!C6</f>
        <v>31</v>
      </c>
      <c r="D80" s="132"/>
      <c r="E80" s="132" t="str">
        <f>'Purchase (an)'!J1</f>
        <v>PJ56</v>
      </c>
      <c r="F80" s="160"/>
      <c r="G80" s="160">
        <f>'Purchase (an)'!J6</f>
        <v>7770</v>
      </c>
      <c r="H80" s="160"/>
      <c r="I80" s="160">
        <f>I79+G80</f>
        <v>8043</v>
      </c>
      <c r="J80" s="133"/>
    </row>
    <row r="81" spans="1:10" ht="12.75">
      <c r="A81" s="131"/>
      <c r="B81" s="132"/>
      <c r="C81" s="132">
        <f>'Cash Pay. (an)'!C12</f>
        <v>31</v>
      </c>
      <c r="D81" s="132"/>
      <c r="E81" s="132" t="str">
        <f>'Cash Pay. (an)'!I1</f>
        <v>CP45</v>
      </c>
      <c r="F81" s="160">
        <f>'Cash Pay. (an)'!H12</f>
        <v>3340</v>
      </c>
      <c r="G81" s="160"/>
      <c r="H81" s="160"/>
      <c r="I81" s="160">
        <f>I80-F81</f>
        <v>4703</v>
      </c>
      <c r="J81" s="133"/>
    </row>
    <row r="82" spans="1:10" ht="12.75">
      <c r="A82" s="131"/>
      <c r="B82" s="132"/>
      <c r="C82" s="132"/>
      <c r="D82" s="132"/>
      <c r="E82" s="132"/>
      <c r="F82" s="160"/>
      <c r="G82" s="160"/>
      <c r="H82" s="160"/>
      <c r="I82" s="160"/>
      <c r="J82" s="133"/>
    </row>
    <row r="83" spans="1:10" ht="12.75">
      <c r="A83" s="131"/>
      <c r="B83" s="132"/>
      <c r="C83" s="132"/>
      <c r="D83" s="132"/>
      <c r="E83" s="132"/>
      <c r="F83" s="160"/>
      <c r="G83" s="160"/>
      <c r="H83" s="160"/>
      <c r="I83" s="160"/>
      <c r="J83" s="133"/>
    </row>
    <row r="85" spans="1:10" ht="13.5" thickBot="1">
      <c r="A85" s="158" t="s">
        <v>205</v>
      </c>
      <c r="B85" s="158"/>
      <c r="C85" s="159" t="str">
        <f>VLOOKUP(H85,AccNames,2,0)</f>
        <v>Salaries Payable</v>
      </c>
      <c r="D85" s="158"/>
      <c r="E85" s="158"/>
      <c r="F85" s="158"/>
      <c r="G85" s="158" t="s">
        <v>206</v>
      </c>
      <c r="H85" s="159">
        <f>'Assumptions (an)'!B10</f>
        <v>215</v>
      </c>
      <c r="I85" s="158"/>
      <c r="J85" s="158"/>
    </row>
    <row r="86" spans="1:10" ht="14.25" thickBot="1" thickTop="1">
      <c r="A86" s="258"/>
      <c r="B86" s="260" t="s">
        <v>17</v>
      </c>
      <c r="C86" s="261"/>
      <c r="D86" s="260" t="s">
        <v>207</v>
      </c>
      <c r="E86" s="260" t="s">
        <v>177</v>
      </c>
      <c r="F86" s="264" t="s">
        <v>38</v>
      </c>
      <c r="G86" s="264" t="s">
        <v>39</v>
      </c>
      <c r="H86" s="266" t="s">
        <v>208</v>
      </c>
      <c r="I86" s="267"/>
      <c r="J86" s="268"/>
    </row>
    <row r="87" spans="1:10" ht="13.5" thickTop="1">
      <c r="A87" s="259"/>
      <c r="B87" s="262"/>
      <c r="C87" s="263"/>
      <c r="D87" s="262"/>
      <c r="E87" s="262"/>
      <c r="F87" s="265"/>
      <c r="G87" s="265"/>
      <c r="H87" s="145" t="s">
        <v>38</v>
      </c>
      <c r="I87" s="145" t="s">
        <v>39</v>
      </c>
      <c r="J87" s="269"/>
    </row>
    <row r="88" spans="1:10" ht="12.75">
      <c r="A88" s="131"/>
      <c r="B88" s="132" t="str">
        <f>'Assumptions (an)'!$G$31</f>
        <v>2006</v>
      </c>
      <c r="C88" s="132"/>
      <c r="D88" s="132"/>
      <c r="E88" s="132"/>
      <c r="F88" s="160"/>
      <c r="G88" s="160"/>
      <c r="H88" s="160"/>
      <c r="I88" s="160"/>
      <c r="J88" s="133"/>
    </row>
    <row r="89" spans="1:10" ht="12.75">
      <c r="A89" s="131"/>
      <c r="B89" s="132" t="str">
        <f>'Assumptions (an)'!$G$32</f>
        <v>Jan.</v>
      </c>
      <c r="C89" s="132">
        <f>'General (an)'!C16</f>
        <v>31</v>
      </c>
      <c r="D89" s="132"/>
      <c r="E89" s="162" t="str">
        <f>'General (an)'!H1</f>
        <v>GL100</v>
      </c>
      <c r="F89" s="160"/>
      <c r="G89" s="160">
        <f>'General (an)'!H19</f>
        <v>4779.35</v>
      </c>
      <c r="H89" s="160"/>
      <c r="I89" s="160">
        <f>G89</f>
        <v>4779.35</v>
      </c>
      <c r="J89" s="133"/>
    </row>
    <row r="90" spans="1:10" ht="12.75">
      <c r="A90" s="131"/>
      <c r="B90" s="132"/>
      <c r="C90" s="132">
        <f>'Cash Pay. (an)'!C10</f>
        <v>31</v>
      </c>
      <c r="D90" s="132"/>
      <c r="E90" s="132" t="str">
        <f>'Cash Pay. (an)'!I1</f>
        <v>CP45</v>
      </c>
      <c r="F90" s="160">
        <f>'Cash Pay. (an)'!G10</f>
        <v>4779.35</v>
      </c>
      <c r="G90" s="160"/>
      <c r="H90" s="160"/>
      <c r="I90" s="160">
        <f>I89-F90</f>
        <v>0</v>
      </c>
      <c r="J90" s="133"/>
    </row>
    <row r="91" spans="1:10" ht="12.75">
      <c r="A91" s="131"/>
      <c r="B91" s="132"/>
      <c r="C91" s="132"/>
      <c r="D91" s="132"/>
      <c r="E91" s="132"/>
      <c r="F91" s="160"/>
      <c r="G91" s="160"/>
      <c r="H91" s="160"/>
      <c r="I91" s="160"/>
      <c r="J91" s="133"/>
    </row>
    <row r="92" spans="1:10" ht="12.75">
      <c r="A92" s="131"/>
      <c r="B92" s="132"/>
      <c r="C92" s="132"/>
      <c r="D92" s="132"/>
      <c r="E92" s="132"/>
      <c r="F92" s="160"/>
      <c r="G92" s="160"/>
      <c r="H92" s="160"/>
      <c r="I92" s="160"/>
      <c r="J92" s="133"/>
    </row>
    <row r="93" spans="1:10" ht="12.75">
      <c r="A93" s="131"/>
      <c r="B93" s="132"/>
      <c r="C93" s="132"/>
      <c r="D93" s="132"/>
      <c r="E93" s="132"/>
      <c r="F93" s="160"/>
      <c r="G93" s="160"/>
      <c r="H93" s="160"/>
      <c r="I93" s="160"/>
      <c r="J93" s="133"/>
    </row>
    <row r="94" spans="1:10" ht="12.75">
      <c r="A94" s="131"/>
      <c r="B94" s="132"/>
      <c r="C94" s="132"/>
      <c r="D94" s="132"/>
      <c r="E94" s="132"/>
      <c r="F94" s="160"/>
      <c r="G94" s="160"/>
      <c r="H94" s="160"/>
      <c r="I94" s="160"/>
      <c r="J94" s="133"/>
    </row>
    <row r="95" spans="1:10" ht="12.75">
      <c r="A95" s="131"/>
      <c r="B95" s="132"/>
      <c r="C95" s="132"/>
      <c r="D95" s="132"/>
      <c r="E95" s="132"/>
      <c r="F95" s="160"/>
      <c r="G95" s="160"/>
      <c r="H95" s="160"/>
      <c r="I95" s="160"/>
      <c r="J95" s="133"/>
    </row>
    <row r="97" spans="1:10" ht="13.5" thickBot="1">
      <c r="A97" s="158" t="s">
        <v>205</v>
      </c>
      <c r="B97" s="158"/>
      <c r="C97" s="159" t="str">
        <f>VLOOKUP(H97,AccNames,2,0)</f>
        <v>Employees' Federal Tax Payable</v>
      </c>
      <c r="D97" s="158"/>
      <c r="E97" s="158"/>
      <c r="F97" s="158"/>
      <c r="G97" s="158" t="s">
        <v>206</v>
      </c>
      <c r="H97" s="159">
        <f>'Assumptions (an)'!B11</f>
        <v>216</v>
      </c>
      <c r="I97" s="158"/>
      <c r="J97" s="158"/>
    </row>
    <row r="98" spans="1:10" ht="14.25" thickBot="1" thickTop="1">
      <c r="A98" s="258"/>
      <c r="B98" s="260" t="s">
        <v>17</v>
      </c>
      <c r="C98" s="261"/>
      <c r="D98" s="260" t="s">
        <v>207</v>
      </c>
      <c r="E98" s="260" t="s">
        <v>177</v>
      </c>
      <c r="F98" s="264" t="s">
        <v>38</v>
      </c>
      <c r="G98" s="264" t="s">
        <v>39</v>
      </c>
      <c r="H98" s="266" t="s">
        <v>208</v>
      </c>
      <c r="I98" s="267"/>
      <c r="J98" s="268"/>
    </row>
    <row r="99" spans="1:10" ht="13.5" thickTop="1">
      <c r="A99" s="259"/>
      <c r="B99" s="262"/>
      <c r="C99" s="263"/>
      <c r="D99" s="262"/>
      <c r="E99" s="262"/>
      <c r="F99" s="265"/>
      <c r="G99" s="265"/>
      <c r="H99" s="145" t="s">
        <v>38</v>
      </c>
      <c r="I99" s="145" t="s">
        <v>39</v>
      </c>
      <c r="J99" s="269"/>
    </row>
    <row r="100" spans="1:10" ht="12.75">
      <c r="A100" s="131"/>
      <c r="B100" s="132" t="str">
        <f>'Assumptions (an)'!$G$31</f>
        <v>2006</v>
      </c>
      <c r="C100" s="132"/>
      <c r="D100" s="132"/>
      <c r="E100" s="132"/>
      <c r="F100" s="160"/>
      <c r="G100" s="160"/>
      <c r="H100" s="160"/>
      <c r="I100" s="160"/>
      <c r="J100" s="133"/>
    </row>
    <row r="101" spans="1:10" ht="12.75">
      <c r="A101" s="131"/>
      <c r="B101" s="132" t="str">
        <f>'Assumptions (an)'!$G$32</f>
        <v>Jan.</v>
      </c>
      <c r="C101" s="132">
        <f>'General (an)'!C16</f>
        <v>31</v>
      </c>
      <c r="D101" s="132"/>
      <c r="E101" s="162" t="str">
        <f>'General (an)'!H1</f>
        <v>GL100</v>
      </c>
      <c r="F101" s="160"/>
      <c r="G101" s="160">
        <f>'General (an)'!H17</f>
        <v>854</v>
      </c>
      <c r="H101" s="160"/>
      <c r="I101" s="160">
        <f>G101</f>
        <v>854</v>
      </c>
      <c r="J101" s="133"/>
    </row>
    <row r="102" spans="1:10" ht="12.75">
      <c r="A102" s="131"/>
      <c r="B102" s="132"/>
      <c r="C102" s="132"/>
      <c r="D102" s="132"/>
      <c r="E102" s="132"/>
      <c r="F102" s="160"/>
      <c r="G102" s="160"/>
      <c r="H102" s="160"/>
      <c r="I102" s="160"/>
      <c r="J102" s="133"/>
    </row>
    <row r="103" spans="1:10" ht="12.75">
      <c r="A103" s="131"/>
      <c r="B103" s="132"/>
      <c r="C103" s="132"/>
      <c r="D103" s="132"/>
      <c r="E103" s="132"/>
      <c r="F103" s="160"/>
      <c r="G103" s="160"/>
      <c r="H103" s="160"/>
      <c r="I103" s="160"/>
      <c r="J103" s="133"/>
    </row>
    <row r="104" spans="1:10" ht="12.75">
      <c r="A104" s="131"/>
      <c r="B104" s="132"/>
      <c r="C104" s="132"/>
      <c r="D104" s="132"/>
      <c r="E104" s="132"/>
      <c r="F104" s="160"/>
      <c r="G104" s="160"/>
      <c r="H104" s="160"/>
      <c r="I104" s="160"/>
      <c r="J104" s="133"/>
    </row>
    <row r="105" spans="1:10" ht="12.75">
      <c r="A105" s="131"/>
      <c r="B105" s="132"/>
      <c r="C105" s="132"/>
      <c r="D105" s="132"/>
      <c r="E105" s="132"/>
      <c r="F105" s="160"/>
      <c r="G105" s="160"/>
      <c r="H105" s="160"/>
      <c r="I105" s="160"/>
      <c r="J105" s="133"/>
    </row>
    <row r="106" spans="1:10" ht="12.75">
      <c r="A106" s="131"/>
      <c r="B106" s="132"/>
      <c r="C106" s="132"/>
      <c r="D106" s="132"/>
      <c r="E106" s="132"/>
      <c r="F106" s="160"/>
      <c r="G106" s="160"/>
      <c r="H106" s="160"/>
      <c r="I106" s="160"/>
      <c r="J106" s="133"/>
    </row>
    <row r="107" spans="1:10" ht="12.75">
      <c r="A107" s="131"/>
      <c r="B107" s="132"/>
      <c r="C107" s="132"/>
      <c r="D107" s="132"/>
      <c r="E107" s="132"/>
      <c r="F107" s="160"/>
      <c r="G107" s="160"/>
      <c r="H107" s="160"/>
      <c r="I107" s="160"/>
      <c r="J107" s="133"/>
    </row>
    <row r="109" spans="1:10" ht="13.5" thickBot="1">
      <c r="A109" s="158" t="s">
        <v>205</v>
      </c>
      <c r="B109" s="158"/>
      <c r="C109" s="159" t="str">
        <f>VLOOKUP(H109,AccNames,2,0)</f>
        <v>FICA Payable</v>
      </c>
      <c r="D109" s="158"/>
      <c r="E109" s="158"/>
      <c r="F109" s="158"/>
      <c r="G109" s="158" t="s">
        <v>206</v>
      </c>
      <c r="H109" s="159">
        <f>'Assumptions (an)'!B12</f>
        <v>217</v>
      </c>
      <c r="I109" s="158"/>
      <c r="J109" s="158"/>
    </row>
    <row r="110" spans="1:10" ht="14.25" thickBot="1" thickTop="1">
      <c r="A110" s="258"/>
      <c r="B110" s="260" t="s">
        <v>17</v>
      </c>
      <c r="C110" s="261"/>
      <c r="D110" s="260" t="s">
        <v>207</v>
      </c>
      <c r="E110" s="260" t="s">
        <v>177</v>
      </c>
      <c r="F110" s="264" t="s">
        <v>38</v>
      </c>
      <c r="G110" s="264" t="s">
        <v>39</v>
      </c>
      <c r="H110" s="266" t="s">
        <v>208</v>
      </c>
      <c r="I110" s="267"/>
      <c r="J110" s="268"/>
    </row>
    <row r="111" spans="1:10" ht="13.5" thickTop="1">
      <c r="A111" s="259"/>
      <c r="B111" s="262"/>
      <c r="C111" s="263"/>
      <c r="D111" s="262"/>
      <c r="E111" s="262"/>
      <c r="F111" s="265"/>
      <c r="G111" s="265"/>
      <c r="H111" s="145" t="s">
        <v>38</v>
      </c>
      <c r="I111" s="145" t="s">
        <v>39</v>
      </c>
      <c r="J111" s="269"/>
    </row>
    <row r="112" spans="1:10" ht="12.75">
      <c r="A112" s="131"/>
      <c r="B112" s="132" t="str">
        <f>'Assumptions (an)'!$G$31</f>
        <v>2006</v>
      </c>
      <c r="C112" s="132"/>
      <c r="D112" s="132"/>
      <c r="E112" s="132"/>
      <c r="F112" s="160"/>
      <c r="G112" s="160"/>
      <c r="H112" s="160"/>
      <c r="I112" s="160"/>
      <c r="J112" s="133"/>
    </row>
    <row r="113" spans="1:10" ht="12.75">
      <c r="A113" s="131"/>
      <c r="B113" s="132" t="str">
        <f>'Assumptions (an)'!$G$32</f>
        <v>Jan.</v>
      </c>
      <c r="C113" s="132">
        <f>'General (an)'!C16</f>
        <v>31</v>
      </c>
      <c r="D113" s="132"/>
      <c r="E113" s="162" t="str">
        <f>'General (an)'!H1</f>
        <v>GL100</v>
      </c>
      <c r="F113" s="160"/>
      <c r="G113" s="160">
        <f>'General (an)'!H18</f>
        <v>466.65</v>
      </c>
      <c r="H113" s="160"/>
      <c r="I113" s="160">
        <f>G113</f>
        <v>466.65</v>
      </c>
      <c r="J113" s="133"/>
    </row>
    <row r="114" spans="1:10" ht="12.75">
      <c r="A114" s="131"/>
      <c r="B114" s="132"/>
      <c r="C114" s="132">
        <f>'General (an)'!C22</f>
        <v>31</v>
      </c>
      <c r="D114" s="132"/>
      <c r="E114" s="132" t="str">
        <f>'General (an)'!H1</f>
        <v>GL100</v>
      </c>
      <c r="F114" s="160"/>
      <c r="G114" s="160">
        <f>'General (an)'!H23</f>
        <v>466.65</v>
      </c>
      <c r="H114" s="160"/>
      <c r="I114" s="160">
        <f>I113+G114</f>
        <v>933.3</v>
      </c>
      <c r="J114" s="133"/>
    </row>
    <row r="115" spans="1:10" ht="12.75">
      <c r="A115" s="131"/>
      <c r="B115" s="132"/>
      <c r="C115" s="132"/>
      <c r="D115" s="132"/>
      <c r="E115" s="132"/>
      <c r="F115" s="160"/>
      <c r="G115" s="160"/>
      <c r="H115" s="160"/>
      <c r="I115" s="160"/>
      <c r="J115" s="133"/>
    </row>
    <row r="116" spans="1:10" ht="12.75">
      <c r="A116" s="131"/>
      <c r="B116" s="132"/>
      <c r="C116" s="132"/>
      <c r="D116" s="132"/>
      <c r="E116" s="132"/>
      <c r="F116" s="160"/>
      <c r="G116" s="160"/>
      <c r="H116" s="160"/>
      <c r="I116" s="160"/>
      <c r="J116" s="133"/>
    </row>
    <row r="117" spans="1:10" ht="12.75">
      <c r="A117" s="131"/>
      <c r="B117" s="132"/>
      <c r="C117" s="132"/>
      <c r="D117" s="132"/>
      <c r="E117" s="132"/>
      <c r="F117" s="160"/>
      <c r="G117" s="160"/>
      <c r="H117" s="160"/>
      <c r="I117" s="160"/>
      <c r="J117" s="133"/>
    </row>
    <row r="118" spans="1:10" ht="12.75">
      <c r="A118" s="131"/>
      <c r="B118" s="132"/>
      <c r="C118" s="132"/>
      <c r="D118" s="132"/>
      <c r="E118" s="132"/>
      <c r="F118" s="160"/>
      <c r="G118" s="160"/>
      <c r="H118" s="160"/>
      <c r="I118" s="160"/>
      <c r="J118" s="133"/>
    </row>
    <row r="119" spans="1:10" ht="12.75">
      <c r="A119" s="131"/>
      <c r="B119" s="132"/>
      <c r="C119" s="132"/>
      <c r="D119" s="132"/>
      <c r="E119" s="132"/>
      <c r="F119" s="160"/>
      <c r="G119" s="160"/>
      <c r="H119" s="160"/>
      <c r="I119" s="160"/>
      <c r="J119" s="133"/>
    </row>
    <row r="121" spans="1:10" ht="13.5" thickBot="1">
      <c r="A121" s="158" t="s">
        <v>205</v>
      </c>
      <c r="B121" s="158"/>
      <c r="C121" s="159" t="str">
        <f>VLOOKUP(H121,AccNames,2,0)</f>
        <v>SUTA Payable</v>
      </c>
      <c r="D121" s="158"/>
      <c r="E121" s="158"/>
      <c r="F121" s="158"/>
      <c r="G121" s="158" t="s">
        <v>206</v>
      </c>
      <c r="H121" s="159">
        <f>'Assumptions (an)'!B13</f>
        <v>218</v>
      </c>
      <c r="I121" s="158"/>
      <c r="J121" s="158"/>
    </row>
    <row r="122" spans="1:10" ht="14.25" thickBot="1" thickTop="1">
      <c r="A122" s="258"/>
      <c r="B122" s="260" t="s">
        <v>17</v>
      </c>
      <c r="C122" s="261"/>
      <c r="D122" s="260" t="s">
        <v>207</v>
      </c>
      <c r="E122" s="260" t="s">
        <v>177</v>
      </c>
      <c r="F122" s="264" t="s">
        <v>38</v>
      </c>
      <c r="G122" s="264" t="s">
        <v>39</v>
      </c>
      <c r="H122" s="266" t="s">
        <v>208</v>
      </c>
      <c r="I122" s="267"/>
      <c r="J122" s="268"/>
    </row>
    <row r="123" spans="1:10" ht="13.5" thickTop="1">
      <c r="A123" s="259"/>
      <c r="B123" s="262"/>
      <c r="C123" s="263"/>
      <c r="D123" s="262"/>
      <c r="E123" s="262"/>
      <c r="F123" s="265"/>
      <c r="G123" s="265"/>
      <c r="H123" s="145" t="s">
        <v>38</v>
      </c>
      <c r="I123" s="145" t="s">
        <v>39</v>
      </c>
      <c r="J123" s="269"/>
    </row>
    <row r="124" spans="1:10" ht="12.75">
      <c r="A124" s="131"/>
      <c r="B124" s="132" t="str">
        <f>'Assumptions (an)'!$G$31</f>
        <v>2006</v>
      </c>
      <c r="C124" s="132"/>
      <c r="D124" s="132"/>
      <c r="E124" s="132"/>
      <c r="F124" s="160"/>
      <c r="G124" s="160"/>
      <c r="H124" s="160"/>
      <c r="I124" s="160"/>
      <c r="J124" s="133"/>
    </row>
    <row r="125" spans="1:10" ht="12.75">
      <c r="A125" s="131"/>
      <c r="B125" s="132" t="str">
        <f>'Assumptions (an)'!$G$32</f>
        <v>Jan.</v>
      </c>
      <c r="C125" s="132">
        <f>'General (an)'!C22</f>
        <v>31</v>
      </c>
      <c r="D125" s="132"/>
      <c r="E125" s="162" t="str">
        <f>'General (an)'!H1</f>
        <v>GL100</v>
      </c>
      <c r="F125" s="160"/>
      <c r="G125" s="160">
        <f>'General (an)'!H24</f>
        <v>329.4</v>
      </c>
      <c r="H125" s="160"/>
      <c r="I125" s="160">
        <f>G125</f>
        <v>329.4</v>
      </c>
      <c r="J125" s="133"/>
    </row>
    <row r="126" spans="1:10" ht="12.75">
      <c r="A126" s="131"/>
      <c r="B126" s="132"/>
      <c r="C126" s="132"/>
      <c r="D126" s="132"/>
      <c r="E126" s="132"/>
      <c r="F126" s="160"/>
      <c r="G126" s="160"/>
      <c r="H126" s="160"/>
      <c r="I126" s="160"/>
      <c r="J126" s="133"/>
    </row>
    <row r="127" spans="1:10" ht="12.75">
      <c r="A127" s="131"/>
      <c r="B127" s="132"/>
      <c r="C127" s="132"/>
      <c r="D127" s="132"/>
      <c r="E127" s="132"/>
      <c r="F127" s="160"/>
      <c r="G127" s="160"/>
      <c r="H127" s="160"/>
      <c r="I127" s="160"/>
      <c r="J127" s="133"/>
    </row>
    <row r="128" spans="1:10" ht="12.75">
      <c r="A128" s="131"/>
      <c r="B128" s="132"/>
      <c r="C128" s="132"/>
      <c r="D128" s="132"/>
      <c r="E128" s="132"/>
      <c r="F128" s="160"/>
      <c r="G128" s="160"/>
      <c r="H128" s="160"/>
      <c r="I128" s="160"/>
      <c r="J128" s="133"/>
    </row>
    <row r="129" spans="1:10" ht="12.75">
      <c r="A129" s="131"/>
      <c r="B129" s="132"/>
      <c r="C129" s="132"/>
      <c r="D129" s="132"/>
      <c r="E129" s="132"/>
      <c r="F129" s="160"/>
      <c r="G129" s="160"/>
      <c r="H129" s="160"/>
      <c r="I129" s="160"/>
      <c r="J129" s="133"/>
    </row>
    <row r="130" spans="1:10" ht="12.75">
      <c r="A130" s="131"/>
      <c r="B130" s="132"/>
      <c r="C130" s="132"/>
      <c r="D130" s="132"/>
      <c r="E130" s="132"/>
      <c r="F130" s="160"/>
      <c r="G130" s="160"/>
      <c r="H130" s="160"/>
      <c r="I130" s="160"/>
      <c r="J130" s="133"/>
    </row>
    <row r="131" spans="1:10" ht="12.75">
      <c r="A131" s="131"/>
      <c r="B131" s="132"/>
      <c r="C131" s="132"/>
      <c r="D131" s="132"/>
      <c r="E131" s="132"/>
      <c r="F131" s="160"/>
      <c r="G131" s="160"/>
      <c r="H131" s="160"/>
      <c r="I131" s="160"/>
      <c r="J131" s="133"/>
    </row>
    <row r="133" spans="1:10" ht="13.5" thickBot="1">
      <c r="A133" s="158" t="s">
        <v>205</v>
      </c>
      <c r="B133" s="158"/>
      <c r="C133" s="159" t="str">
        <f>VLOOKUP(H133,AccNames,2,0)</f>
        <v>FUTA Payable</v>
      </c>
      <c r="D133" s="158"/>
      <c r="E133" s="158"/>
      <c r="F133" s="158"/>
      <c r="G133" s="158" t="s">
        <v>206</v>
      </c>
      <c r="H133" s="159">
        <f>'Assumptions (an)'!B14</f>
        <v>219</v>
      </c>
      <c r="I133" s="158"/>
      <c r="J133" s="158"/>
    </row>
    <row r="134" spans="1:10" ht="14.25" thickBot="1" thickTop="1">
      <c r="A134" s="258"/>
      <c r="B134" s="260" t="s">
        <v>17</v>
      </c>
      <c r="C134" s="261"/>
      <c r="D134" s="260" t="s">
        <v>207</v>
      </c>
      <c r="E134" s="260" t="s">
        <v>177</v>
      </c>
      <c r="F134" s="264" t="s">
        <v>38</v>
      </c>
      <c r="G134" s="264" t="s">
        <v>39</v>
      </c>
      <c r="H134" s="266" t="s">
        <v>208</v>
      </c>
      <c r="I134" s="267"/>
      <c r="J134" s="268"/>
    </row>
    <row r="135" spans="1:10" ht="13.5" thickTop="1">
      <c r="A135" s="259"/>
      <c r="B135" s="262"/>
      <c r="C135" s="263"/>
      <c r="D135" s="262"/>
      <c r="E135" s="262"/>
      <c r="F135" s="265"/>
      <c r="G135" s="265"/>
      <c r="H135" s="145" t="s">
        <v>38</v>
      </c>
      <c r="I135" s="145" t="s">
        <v>39</v>
      </c>
      <c r="J135" s="269"/>
    </row>
    <row r="136" spans="1:10" ht="12.75">
      <c r="A136" s="131"/>
      <c r="B136" s="132" t="str">
        <f>'Assumptions (an)'!$G$31</f>
        <v>2006</v>
      </c>
      <c r="C136" s="132"/>
      <c r="D136" s="132"/>
      <c r="E136" s="132"/>
      <c r="F136" s="160"/>
      <c r="G136" s="160"/>
      <c r="H136" s="160"/>
      <c r="I136" s="160"/>
      <c r="J136" s="133"/>
    </row>
    <row r="137" spans="1:10" ht="12.75">
      <c r="A137" s="131"/>
      <c r="B137" s="132" t="str">
        <f>'Assumptions (an)'!$G$32</f>
        <v>Jan.</v>
      </c>
      <c r="C137" s="132">
        <f>C125</f>
        <v>31</v>
      </c>
      <c r="D137" s="132"/>
      <c r="E137" s="162" t="str">
        <f>E125</f>
        <v>GL100</v>
      </c>
      <c r="F137" s="160"/>
      <c r="G137" s="160">
        <f>'General (an)'!H25</f>
        <v>48.8</v>
      </c>
      <c r="H137" s="160"/>
      <c r="I137" s="160">
        <f>G137</f>
        <v>48.8</v>
      </c>
      <c r="J137" s="133"/>
    </row>
    <row r="138" spans="1:10" ht="12.75">
      <c r="A138" s="131"/>
      <c r="B138" s="132"/>
      <c r="C138" s="132"/>
      <c r="D138" s="132"/>
      <c r="E138" s="132"/>
      <c r="F138" s="160"/>
      <c r="G138" s="160"/>
      <c r="H138" s="160"/>
      <c r="I138" s="160"/>
      <c r="J138" s="133"/>
    </row>
    <row r="139" spans="1:10" ht="12.75">
      <c r="A139" s="131"/>
      <c r="B139" s="132"/>
      <c r="C139" s="132"/>
      <c r="D139" s="132"/>
      <c r="E139" s="132"/>
      <c r="F139" s="160"/>
      <c r="G139" s="160"/>
      <c r="H139" s="160"/>
      <c r="I139" s="160"/>
      <c r="J139" s="133"/>
    </row>
    <row r="140" spans="1:10" ht="12.75">
      <c r="A140" s="131"/>
      <c r="B140" s="132"/>
      <c r="C140" s="132"/>
      <c r="D140" s="132"/>
      <c r="E140" s="132"/>
      <c r="F140" s="160"/>
      <c r="G140" s="160"/>
      <c r="H140" s="160"/>
      <c r="I140" s="160"/>
      <c r="J140" s="133"/>
    </row>
    <row r="141" spans="1:10" ht="12.75">
      <c r="A141" s="131"/>
      <c r="B141" s="132"/>
      <c r="C141" s="132"/>
      <c r="D141" s="132"/>
      <c r="E141" s="132"/>
      <c r="F141" s="160"/>
      <c r="G141" s="160"/>
      <c r="H141" s="160"/>
      <c r="I141" s="160"/>
      <c r="J141" s="133"/>
    </row>
    <row r="142" spans="1:10" ht="12.75">
      <c r="A142" s="131"/>
      <c r="B142" s="132"/>
      <c r="C142" s="132"/>
      <c r="D142" s="132"/>
      <c r="E142" s="132"/>
      <c r="F142" s="160"/>
      <c r="G142" s="160"/>
      <c r="H142" s="160"/>
      <c r="I142" s="160"/>
      <c r="J142" s="133"/>
    </row>
    <row r="143" spans="1:10" ht="12.75">
      <c r="A143" s="131"/>
      <c r="B143" s="132"/>
      <c r="C143" s="132"/>
      <c r="D143" s="132"/>
      <c r="E143" s="132"/>
      <c r="F143" s="160"/>
      <c r="G143" s="160"/>
      <c r="H143" s="160"/>
      <c r="I143" s="160"/>
      <c r="J143" s="133"/>
    </row>
    <row r="145" spans="1:10" ht="13.5" thickBot="1">
      <c r="A145" s="158" t="s">
        <v>205</v>
      </c>
      <c r="B145" s="158"/>
      <c r="C145" s="159" t="str">
        <f>VLOOKUP(H145,AccNames,2,0)</f>
        <v>J. Hammonds, Capital</v>
      </c>
      <c r="D145" s="158"/>
      <c r="E145" s="158"/>
      <c r="F145" s="158"/>
      <c r="G145" s="158" t="s">
        <v>206</v>
      </c>
      <c r="H145" s="159">
        <f>'Assumptions (an)'!B15</f>
        <v>311</v>
      </c>
      <c r="I145" s="158"/>
      <c r="J145" s="158"/>
    </row>
    <row r="146" spans="1:10" ht="14.25" thickBot="1" thickTop="1">
      <c r="A146" s="258"/>
      <c r="B146" s="260" t="s">
        <v>17</v>
      </c>
      <c r="C146" s="261"/>
      <c r="D146" s="260" t="s">
        <v>207</v>
      </c>
      <c r="E146" s="260" t="s">
        <v>177</v>
      </c>
      <c r="F146" s="264" t="s">
        <v>38</v>
      </c>
      <c r="G146" s="264" t="s">
        <v>39</v>
      </c>
      <c r="H146" s="266" t="s">
        <v>208</v>
      </c>
      <c r="I146" s="267"/>
      <c r="J146" s="268"/>
    </row>
    <row r="147" spans="1:10" ht="13.5" thickTop="1">
      <c r="A147" s="259"/>
      <c r="B147" s="262"/>
      <c r="C147" s="263"/>
      <c r="D147" s="262"/>
      <c r="E147" s="262"/>
      <c r="F147" s="265"/>
      <c r="G147" s="265"/>
      <c r="H147" s="145" t="s">
        <v>38</v>
      </c>
      <c r="I147" s="145" t="s">
        <v>39</v>
      </c>
      <c r="J147" s="269"/>
    </row>
    <row r="148" spans="1:10" ht="12.75">
      <c r="A148" s="131"/>
      <c r="B148" s="132" t="str">
        <f>'Assumptions (an)'!$G$31</f>
        <v>2006</v>
      </c>
      <c r="C148" s="132"/>
      <c r="D148" s="132"/>
      <c r="E148" s="132"/>
      <c r="F148" s="160"/>
      <c r="G148" s="160"/>
      <c r="H148" s="160"/>
      <c r="I148" s="160"/>
      <c r="J148" s="133"/>
    </row>
    <row r="149" spans="1:10" ht="12.75">
      <c r="A149" s="131"/>
      <c r="B149" s="132" t="str">
        <f>'Assumptions (an)'!$G$32</f>
        <v>Jan.</v>
      </c>
      <c r="C149" s="180" t="str">
        <f>'Assumptions (an)'!$G$33</f>
        <v>1</v>
      </c>
      <c r="D149" s="132" t="s">
        <v>152</v>
      </c>
      <c r="E149" s="161" t="s">
        <v>209</v>
      </c>
      <c r="F149" s="160"/>
      <c r="G149" s="160"/>
      <c r="H149" s="160"/>
      <c r="I149" s="160">
        <f>'Assumptions (an)'!E15</f>
        <v>35000</v>
      </c>
      <c r="J149" s="133"/>
    </row>
    <row r="150" spans="1:10" ht="12.75">
      <c r="A150" s="131"/>
      <c r="B150" s="132"/>
      <c r="C150" s="132">
        <f>'Cash Rec. (an)'!C4</f>
        <v>2</v>
      </c>
      <c r="D150" s="132"/>
      <c r="E150" s="132" t="str">
        <f>'Cash Rec. (an)'!I1</f>
        <v>CR38</v>
      </c>
      <c r="F150" s="160"/>
      <c r="G150" s="160">
        <f>'Cash Rec. (an)'!J4</f>
        <v>2200</v>
      </c>
      <c r="H150" s="160"/>
      <c r="I150" s="160">
        <f>I149+G150</f>
        <v>37200</v>
      </c>
      <c r="J150" s="133"/>
    </row>
    <row r="151" spans="1:10" ht="12.75">
      <c r="A151" s="131"/>
      <c r="B151" s="132"/>
      <c r="C151" s="132"/>
      <c r="D151" s="132"/>
      <c r="E151" s="132"/>
      <c r="F151" s="160"/>
      <c r="G151" s="160"/>
      <c r="H151" s="160"/>
      <c r="I151" s="160"/>
      <c r="J151" s="133"/>
    </row>
    <row r="152" spans="1:10" ht="12.75">
      <c r="A152" s="131"/>
      <c r="B152" s="132"/>
      <c r="C152" s="132"/>
      <c r="D152" s="132"/>
      <c r="E152" s="132"/>
      <c r="F152" s="160"/>
      <c r="G152" s="160"/>
      <c r="H152" s="160"/>
      <c r="I152" s="160"/>
      <c r="J152" s="133"/>
    </row>
    <row r="153" spans="1:10" ht="12.75">
      <c r="A153" s="131"/>
      <c r="B153" s="132"/>
      <c r="C153" s="132"/>
      <c r="D153" s="132"/>
      <c r="E153" s="132"/>
      <c r="F153" s="160"/>
      <c r="G153" s="160"/>
      <c r="H153" s="160"/>
      <c r="I153" s="160"/>
      <c r="J153" s="133"/>
    </row>
    <row r="154" spans="1:10" ht="12.75">
      <c r="A154" s="131"/>
      <c r="B154" s="132"/>
      <c r="C154" s="132"/>
      <c r="D154" s="132"/>
      <c r="E154" s="132"/>
      <c r="F154" s="160"/>
      <c r="G154" s="160"/>
      <c r="H154" s="160"/>
      <c r="I154" s="160"/>
      <c r="J154" s="133"/>
    </row>
    <row r="155" spans="1:10" ht="12.75">
      <c r="A155" s="131"/>
      <c r="B155" s="132"/>
      <c r="C155" s="132"/>
      <c r="D155" s="132"/>
      <c r="E155" s="132"/>
      <c r="F155" s="160"/>
      <c r="G155" s="160"/>
      <c r="H155" s="160"/>
      <c r="I155" s="160"/>
      <c r="J155" s="133"/>
    </row>
    <row r="157" spans="1:10" ht="13.5" thickBot="1">
      <c r="A157" s="158" t="s">
        <v>205</v>
      </c>
      <c r="B157" s="158"/>
      <c r="C157" s="159" t="str">
        <f>VLOOKUP(H157,AccNames,2,0)</f>
        <v>J. Hammonds, Drawing</v>
      </c>
      <c r="D157" s="158"/>
      <c r="E157" s="158"/>
      <c r="F157" s="158"/>
      <c r="G157" s="158" t="s">
        <v>206</v>
      </c>
      <c r="H157" s="159">
        <f>'Assumptions (an)'!B16</f>
        <v>312</v>
      </c>
      <c r="I157" s="158"/>
      <c r="J157" s="158"/>
    </row>
    <row r="158" spans="1:10" ht="14.25" thickBot="1" thickTop="1">
      <c r="A158" s="258"/>
      <c r="B158" s="260" t="s">
        <v>17</v>
      </c>
      <c r="C158" s="261"/>
      <c r="D158" s="260" t="s">
        <v>207</v>
      </c>
      <c r="E158" s="260" t="s">
        <v>177</v>
      </c>
      <c r="F158" s="264" t="s">
        <v>38</v>
      </c>
      <c r="G158" s="264" t="s">
        <v>39</v>
      </c>
      <c r="H158" s="266" t="s">
        <v>208</v>
      </c>
      <c r="I158" s="267"/>
      <c r="J158" s="268"/>
    </row>
    <row r="159" spans="1:10" ht="13.5" thickTop="1">
      <c r="A159" s="259"/>
      <c r="B159" s="262"/>
      <c r="C159" s="263"/>
      <c r="D159" s="262"/>
      <c r="E159" s="262"/>
      <c r="F159" s="265"/>
      <c r="G159" s="265"/>
      <c r="H159" s="145" t="s">
        <v>38</v>
      </c>
      <c r="I159" s="145" t="s">
        <v>39</v>
      </c>
      <c r="J159" s="269"/>
    </row>
    <row r="160" spans="1:10" ht="12.75">
      <c r="A160" s="131"/>
      <c r="B160" s="132" t="str">
        <f>'Assumptions (an)'!$G$31</f>
        <v>2006</v>
      </c>
      <c r="C160" s="132"/>
      <c r="D160" s="132"/>
      <c r="E160" s="132"/>
      <c r="F160" s="160"/>
      <c r="G160" s="160"/>
      <c r="H160" s="160"/>
      <c r="I160" s="160"/>
      <c r="J160" s="133"/>
    </row>
    <row r="161" spans="1:10" ht="12.75">
      <c r="A161" s="131"/>
      <c r="B161" s="132" t="str">
        <f>'Assumptions (an)'!$G$32</f>
        <v>Jan.</v>
      </c>
      <c r="C161" s="132">
        <f>'Cash Pay. (an)'!C11</f>
        <v>31</v>
      </c>
      <c r="D161" s="132"/>
      <c r="E161" s="162" t="str">
        <f>'Cash Pay. (an)'!I1</f>
        <v>CP45</v>
      </c>
      <c r="F161" s="160">
        <f>'Cash Pay. (an)'!G11</f>
        <v>950</v>
      </c>
      <c r="G161" s="160"/>
      <c r="H161" s="160">
        <f>F161</f>
        <v>950</v>
      </c>
      <c r="I161" s="160"/>
      <c r="J161" s="133"/>
    </row>
    <row r="162" spans="1:10" ht="12.75">
      <c r="A162" s="131"/>
      <c r="B162" s="132"/>
      <c r="C162" s="132"/>
      <c r="D162" s="132"/>
      <c r="E162" s="132"/>
      <c r="F162" s="160"/>
      <c r="G162" s="160"/>
      <c r="H162" s="160"/>
      <c r="I162" s="160"/>
      <c r="J162" s="133"/>
    </row>
    <row r="163" spans="1:10" ht="12.75">
      <c r="A163" s="131"/>
      <c r="B163" s="132"/>
      <c r="C163" s="132"/>
      <c r="D163" s="132"/>
      <c r="E163" s="132"/>
      <c r="F163" s="160"/>
      <c r="G163" s="160"/>
      <c r="H163" s="160"/>
      <c r="I163" s="160"/>
      <c r="J163" s="133"/>
    </row>
    <row r="164" spans="1:10" ht="12.75">
      <c r="A164" s="131"/>
      <c r="B164" s="132"/>
      <c r="C164" s="132"/>
      <c r="D164" s="132"/>
      <c r="E164" s="132"/>
      <c r="F164" s="160"/>
      <c r="G164" s="160"/>
      <c r="H164" s="160"/>
      <c r="I164" s="160"/>
      <c r="J164" s="133"/>
    </row>
    <row r="165" spans="1:10" ht="12.75">
      <c r="A165" s="131"/>
      <c r="B165" s="132"/>
      <c r="C165" s="132"/>
      <c r="D165" s="132"/>
      <c r="E165" s="132"/>
      <c r="F165" s="160"/>
      <c r="G165" s="160"/>
      <c r="H165" s="160"/>
      <c r="I165" s="160"/>
      <c r="J165" s="133"/>
    </row>
    <row r="166" spans="1:10" ht="12.75">
      <c r="A166" s="131"/>
      <c r="B166" s="132"/>
      <c r="C166" s="132"/>
      <c r="D166" s="132"/>
      <c r="E166" s="132"/>
      <c r="F166" s="160"/>
      <c r="G166" s="160"/>
      <c r="H166" s="160"/>
      <c r="I166" s="160"/>
      <c r="J166" s="133"/>
    </row>
    <row r="167" spans="1:10" ht="12.75">
      <c r="A167" s="131"/>
      <c r="B167" s="132"/>
      <c r="C167" s="132"/>
      <c r="D167" s="132"/>
      <c r="E167" s="132"/>
      <c r="F167" s="160"/>
      <c r="G167" s="160"/>
      <c r="H167" s="160"/>
      <c r="I167" s="160"/>
      <c r="J167" s="133"/>
    </row>
    <row r="169" spans="1:10" ht="13.5" thickBot="1">
      <c r="A169" s="158" t="s">
        <v>205</v>
      </c>
      <c r="B169" s="158"/>
      <c r="C169" s="159" t="str">
        <f>VLOOKUP(H169,AccNames,2,0)</f>
        <v>Sales</v>
      </c>
      <c r="D169" s="158"/>
      <c r="E169" s="158"/>
      <c r="F169" s="158"/>
      <c r="G169" s="158" t="s">
        <v>206</v>
      </c>
      <c r="H169" s="159">
        <f>'Assumptions (an)'!B17</f>
        <v>411</v>
      </c>
      <c r="I169" s="158"/>
      <c r="J169" s="158"/>
    </row>
    <row r="170" spans="1:10" ht="14.25" thickBot="1" thickTop="1">
      <c r="A170" s="258"/>
      <c r="B170" s="260" t="s">
        <v>17</v>
      </c>
      <c r="C170" s="261"/>
      <c r="D170" s="260" t="s">
        <v>207</v>
      </c>
      <c r="E170" s="260" t="s">
        <v>177</v>
      </c>
      <c r="F170" s="264" t="s">
        <v>38</v>
      </c>
      <c r="G170" s="264" t="s">
        <v>39</v>
      </c>
      <c r="H170" s="266" t="s">
        <v>208</v>
      </c>
      <c r="I170" s="267"/>
      <c r="J170" s="268"/>
    </row>
    <row r="171" spans="1:10" ht="13.5" thickTop="1">
      <c r="A171" s="259"/>
      <c r="B171" s="262"/>
      <c r="C171" s="263"/>
      <c r="D171" s="262"/>
      <c r="E171" s="262"/>
      <c r="F171" s="265"/>
      <c r="G171" s="265"/>
      <c r="H171" s="145" t="s">
        <v>38</v>
      </c>
      <c r="I171" s="145" t="s">
        <v>39</v>
      </c>
      <c r="J171" s="269"/>
    </row>
    <row r="172" spans="1:10" ht="12.75">
      <c r="A172" s="131"/>
      <c r="B172" s="132" t="str">
        <f>'Assumptions (an)'!$G$31</f>
        <v>2006</v>
      </c>
      <c r="C172" s="132"/>
      <c r="D172" s="132"/>
      <c r="E172" s="132"/>
      <c r="F172" s="160"/>
      <c r="G172" s="160"/>
      <c r="H172" s="160"/>
      <c r="I172" s="160"/>
      <c r="J172" s="133"/>
    </row>
    <row r="173" spans="1:10" ht="12.75">
      <c r="A173" s="131"/>
      <c r="B173" s="132" t="str">
        <f>'Assumptions (an)'!$G$32</f>
        <v>Jan.</v>
      </c>
      <c r="C173" s="132">
        <f>'Sales (an)'!C8</f>
        <v>31</v>
      </c>
      <c r="D173" s="132"/>
      <c r="E173" s="162" t="str">
        <f>'Sales (an)'!G1</f>
        <v>S73</v>
      </c>
      <c r="F173" s="160"/>
      <c r="G173" s="160">
        <f>'Sales (an)'!G8</f>
        <v>5530</v>
      </c>
      <c r="H173" s="160"/>
      <c r="I173" s="160">
        <f>G173</f>
        <v>5530</v>
      </c>
      <c r="J173" s="133"/>
    </row>
    <row r="174" spans="1:10" ht="12.75">
      <c r="A174" s="131"/>
      <c r="B174" s="132"/>
      <c r="C174" s="132">
        <f>'Cash Rec. (an)'!C10</f>
        <v>31</v>
      </c>
      <c r="D174" s="132"/>
      <c r="E174" s="132" t="str">
        <f>'Cash Rec. (an)'!I1</f>
        <v>CR38</v>
      </c>
      <c r="F174" s="160"/>
      <c r="G174" s="160">
        <f>'Cash Rec. (an)'!H10</f>
        <v>12932</v>
      </c>
      <c r="H174" s="160"/>
      <c r="I174" s="160">
        <f>I173+G174</f>
        <v>18462</v>
      </c>
      <c r="J174" s="133"/>
    </row>
    <row r="175" spans="1:10" ht="12.75">
      <c r="A175" s="131"/>
      <c r="B175" s="132"/>
      <c r="C175" s="132"/>
      <c r="D175" s="132"/>
      <c r="E175" s="132"/>
      <c r="F175" s="160"/>
      <c r="G175" s="160"/>
      <c r="H175" s="160"/>
      <c r="I175" s="160"/>
      <c r="J175" s="133"/>
    </row>
    <row r="176" spans="1:10" ht="12.75">
      <c r="A176" s="131"/>
      <c r="B176" s="132"/>
      <c r="C176" s="132"/>
      <c r="D176" s="132"/>
      <c r="E176" s="132"/>
      <c r="F176" s="160"/>
      <c r="G176" s="160"/>
      <c r="H176" s="160"/>
      <c r="I176" s="160"/>
      <c r="J176" s="133"/>
    </row>
    <row r="177" spans="1:10" ht="12.75">
      <c r="A177" s="131"/>
      <c r="B177" s="132"/>
      <c r="C177" s="132"/>
      <c r="D177" s="132"/>
      <c r="E177" s="132"/>
      <c r="F177" s="160"/>
      <c r="G177" s="160"/>
      <c r="H177" s="160"/>
      <c r="I177" s="160"/>
      <c r="J177" s="133"/>
    </row>
    <row r="178" spans="1:10" ht="12.75">
      <c r="A178" s="131"/>
      <c r="B178" s="132"/>
      <c r="C178" s="132"/>
      <c r="D178" s="132"/>
      <c r="E178" s="132"/>
      <c r="F178" s="160"/>
      <c r="G178" s="160"/>
      <c r="H178" s="160"/>
      <c r="I178" s="160"/>
      <c r="J178" s="133"/>
    </row>
    <row r="179" spans="1:10" ht="12.75">
      <c r="A179" s="131"/>
      <c r="B179" s="132"/>
      <c r="C179" s="132"/>
      <c r="D179" s="132"/>
      <c r="E179" s="132"/>
      <c r="F179" s="160"/>
      <c r="G179" s="160"/>
      <c r="H179" s="160"/>
      <c r="I179" s="160"/>
      <c r="J179" s="133"/>
    </row>
    <row r="181" spans="1:10" ht="13.5" thickBot="1">
      <c r="A181" s="158" t="s">
        <v>205</v>
      </c>
      <c r="B181" s="158"/>
      <c r="C181" s="159" t="str">
        <f>VLOOKUP(H181,AccNames,2,0)</f>
        <v>Sales Returns and Allowances</v>
      </c>
      <c r="D181" s="158"/>
      <c r="E181" s="158"/>
      <c r="F181" s="158"/>
      <c r="G181" s="158" t="s">
        <v>206</v>
      </c>
      <c r="H181" s="159">
        <f>'Assumptions (an)'!B18</f>
        <v>412</v>
      </c>
      <c r="I181" s="158"/>
      <c r="J181" s="158"/>
    </row>
    <row r="182" spans="1:10" ht="14.25" thickBot="1" thickTop="1">
      <c r="A182" s="258"/>
      <c r="B182" s="260" t="s">
        <v>17</v>
      </c>
      <c r="C182" s="261"/>
      <c r="D182" s="260" t="s">
        <v>207</v>
      </c>
      <c r="E182" s="260" t="s">
        <v>177</v>
      </c>
      <c r="F182" s="264" t="s">
        <v>38</v>
      </c>
      <c r="G182" s="264" t="s">
        <v>39</v>
      </c>
      <c r="H182" s="266" t="s">
        <v>208</v>
      </c>
      <c r="I182" s="267"/>
      <c r="J182" s="268"/>
    </row>
    <row r="183" spans="1:10" ht="13.5" thickTop="1">
      <c r="A183" s="259"/>
      <c r="B183" s="262"/>
      <c r="C183" s="263"/>
      <c r="D183" s="262"/>
      <c r="E183" s="262"/>
      <c r="F183" s="265"/>
      <c r="G183" s="265"/>
      <c r="H183" s="163" t="s">
        <v>38</v>
      </c>
      <c r="I183" s="163" t="s">
        <v>39</v>
      </c>
      <c r="J183" s="269"/>
    </row>
    <row r="184" spans="1:10" ht="12.75">
      <c r="A184" s="131"/>
      <c r="B184" s="132" t="str">
        <f>'Assumptions (an)'!$G$31</f>
        <v>2006</v>
      </c>
      <c r="C184" s="132"/>
      <c r="D184" s="132"/>
      <c r="E184" s="132"/>
      <c r="F184" s="160"/>
      <c r="G184" s="160"/>
      <c r="H184" s="160"/>
      <c r="I184" s="160"/>
      <c r="J184" s="133"/>
    </row>
    <row r="185" spans="1:10" ht="12.75">
      <c r="A185" s="131"/>
      <c r="B185" s="132" t="str">
        <f>'Assumptions (an)'!$G$32</f>
        <v>Jan.</v>
      </c>
      <c r="C185" s="132">
        <f>'General (an)'!C8</f>
        <v>9</v>
      </c>
      <c r="D185" s="132"/>
      <c r="E185" s="162" t="str">
        <f>'General (an)'!H1</f>
        <v>GL100</v>
      </c>
      <c r="F185" s="160">
        <f>'General (an)'!G8</f>
        <v>50</v>
      </c>
      <c r="G185" s="160"/>
      <c r="H185" s="160">
        <f>F185</f>
        <v>50</v>
      </c>
      <c r="I185" s="160"/>
      <c r="J185" s="133"/>
    </row>
    <row r="186" spans="1:10" ht="12.75">
      <c r="A186" s="131"/>
      <c r="B186" s="132"/>
      <c r="C186" s="132"/>
      <c r="D186" s="132"/>
      <c r="E186" s="132"/>
      <c r="F186" s="160"/>
      <c r="G186" s="160"/>
      <c r="H186" s="160"/>
      <c r="I186" s="160"/>
      <c r="J186" s="133"/>
    </row>
    <row r="187" spans="1:10" ht="12.75">
      <c r="A187" s="131"/>
      <c r="B187" s="132"/>
      <c r="C187" s="132"/>
      <c r="D187" s="132"/>
      <c r="E187" s="132"/>
      <c r="F187" s="160"/>
      <c r="G187" s="160"/>
      <c r="H187" s="160"/>
      <c r="I187" s="160"/>
      <c r="J187" s="133"/>
    </row>
    <row r="188" spans="1:10" ht="12.75">
      <c r="A188" s="131"/>
      <c r="B188" s="132"/>
      <c r="C188" s="132"/>
      <c r="D188" s="132"/>
      <c r="E188" s="132"/>
      <c r="F188" s="160"/>
      <c r="G188" s="160"/>
      <c r="H188" s="160"/>
      <c r="I188" s="160"/>
      <c r="J188" s="133"/>
    </row>
    <row r="189" spans="1:10" ht="12.75">
      <c r="A189" s="131"/>
      <c r="B189" s="132"/>
      <c r="C189" s="132"/>
      <c r="D189" s="132"/>
      <c r="E189" s="132"/>
      <c r="F189" s="160"/>
      <c r="G189" s="160"/>
      <c r="H189" s="160"/>
      <c r="I189" s="160"/>
      <c r="J189" s="133"/>
    </row>
    <row r="190" spans="1:10" ht="12.75">
      <c r="A190" s="131"/>
      <c r="B190" s="132"/>
      <c r="C190" s="132"/>
      <c r="D190" s="132"/>
      <c r="E190" s="132"/>
      <c r="F190" s="160"/>
      <c r="G190" s="160"/>
      <c r="H190" s="160"/>
      <c r="I190" s="160"/>
      <c r="J190" s="133"/>
    </row>
    <row r="191" spans="1:10" ht="12.75">
      <c r="A191" s="131"/>
      <c r="B191" s="132"/>
      <c r="C191" s="132"/>
      <c r="D191" s="132"/>
      <c r="E191" s="132"/>
      <c r="F191" s="160"/>
      <c r="G191" s="160"/>
      <c r="H191" s="160"/>
      <c r="I191" s="160"/>
      <c r="J191" s="133"/>
    </row>
    <row r="193" spans="1:10" ht="13.5" thickBot="1">
      <c r="A193" s="158" t="s">
        <v>205</v>
      </c>
      <c r="B193" s="158"/>
      <c r="C193" s="159" t="str">
        <f>VLOOKUP(H193,AccNames,2,0)</f>
        <v>Sales Discounts</v>
      </c>
      <c r="D193" s="158"/>
      <c r="E193" s="158"/>
      <c r="F193" s="158"/>
      <c r="G193" s="158" t="s">
        <v>206</v>
      </c>
      <c r="H193" s="159">
        <f>'Assumptions (an)'!B19</f>
        <v>413</v>
      </c>
      <c r="I193" s="158"/>
      <c r="J193" s="158"/>
    </row>
    <row r="194" spans="1:10" ht="14.25" thickBot="1" thickTop="1">
      <c r="A194" s="258"/>
      <c r="B194" s="260" t="s">
        <v>17</v>
      </c>
      <c r="C194" s="261"/>
      <c r="D194" s="260" t="s">
        <v>207</v>
      </c>
      <c r="E194" s="260" t="s">
        <v>177</v>
      </c>
      <c r="F194" s="264" t="s">
        <v>38</v>
      </c>
      <c r="G194" s="264" t="s">
        <v>39</v>
      </c>
      <c r="H194" s="266" t="s">
        <v>208</v>
      </c>
      <c r="I194" s="267"/>
      <c r="J194" s="268"/>
    </row>
    <row r="195" spans="1:10" ht="13.5" thickTop="1">
      <c r="A195" s="259"/>
      <c r="B195" s="262"/>
      <c r="C195" s="263"/>
      <c r="D195" s="262"/>
      <c r="E195" s="262"/>
      <c r="F195" s="265"/>
      <c r="G195" s="265"/>
      <c r="H195" s="145" t="s">
        <v>38</v>
      </c>
      <c r="I195" s="145" t="s">
        <v>39</v>
      </c>
      <c r="J195" s="269"/>
    </row>
    <row r="196" spans="1:10" ht="12.75">
      <c r="A196" s="131"/>
      <c r="B196" s="132" t="str">
        <f>'Assumptions (an)'!$G$31</f>
        <v>2006</v>
      </c>
      <c r="C196" s="132"/>
      <c r="D196" s="132"/>
      <c r="E196" s="132"/>
      <c r="F196" s="160"/>
      <c r="G196" s="160"/>
      <c r="H196" s="160"/>
      <c r="I196" s="160"/>
      <c r="J196" s="133"/>
    </row>
    <row r="197" spans="1:10" ht="12.75">
      <c r="A197" s="131"/>
      <c r="B197" s="132" t="str">
        <f>'Assumptions (an)'!$G$32</f>
        <v>Jan.</v>
      </c>
      <c r="C197" s="132">
        <f>'Cash Rec. (an)'!C10</f>
        <v>31</v>
      </c>
      <c r="D197" s="132"/>
      <c r="E197" s="162" t="str">
        <f>'Cash Rec. (an)'!I1</f>
        <v>CR38</v>
      </c>
      <c r="F197" s="160">
        <f>'Cash Rec. (an)'!I10</f>
        <v>33</v>
      </c>
      <c r="G197" s="160"/>
      <c r="H197" s="160">
        <f>F197</f>
        <v>33</v>
      </c>
      <c r="I197" s="160"/>
      <c r="J197" s="133"/>
    </row>
    <row r="198" spans="1:10" ht="12.75">
      <c r="A198" s="131"/>
      <c r="B198" s="132"/>
      <c r="C198" s="132"/>
      <c r="D198" s="132"/>
      <c r="E198" s="132"/>
      <c r="F198" s="160"/>
      <c r="G198" s="160"/>
      <c r="H198" s="160"/>
      <c r="I198" s="160"/>
      <c r="J198" s="133"/>
    </row>
    <row r="199" spans="1:10" ht="12.75">
      <c r="A199" s="131"/>
      <c r="B199" s="132"/>
      <c r="C199" s="132"/>
      <c r="D199" s="132"/>
      <c r="E199" s="132"/>
      <c r="F199" s="160"/>
      <c r="G199" s="160"/>
      <c r="H199" s="160"/>
      <c r="I199" s="160"/>
      <c r="J199" s="133"/>
    </row>
    <row r="200" spans="1:10" ht="12.75">
      <c r="A200" s="131"/>
      <c r="B200" s="132"/>
      <c r="C200" s="132"/>
      <c r="D200" s="132"/>
      <c r="E200" s="132"/>
      <c r="F200" s="160"/>
      <c r="G200" s="160"/>
      <c r="H200" s="160"/>
      <c r="I200" s="160"/>
      <c r="J200" s="133"/>
    </row>
    <row r="201" spans="1:10" ht="12.75">
      <c r="A201" s="131"/>
      <c r="B201" s="132"/>
      <c r="C201" s="132"/>
      <c r="D201" s="132"/>
      <c r="E201" s="132"/>
      <c r="F201" s="160"/>
      <c r="G201" s="160"/>
      <c r="H201" s="160"/>
      <c r="I201" s="160"/>
      <c r="J201" s="133"/>
    </row>
    <row r="202" spans="1:10" ht="12.75">
      <c r="A202" s="131"/>
      <c r="B202" s="132"/>
      <c r="C202" s="132"/>
      <c r="D202" s="132"/>
      <c r="E202" s="132"/>
      <c r="F202" s="160"/>
      <c r="G202" s="160"/>
      <c r="H202" s="160"/>
      <c r="I202" s="160"/>
      <c r="J202" s="133"/>
    </row>
    <row r="203" spans="1:10" ht="12.75">
      <c r="A203" s="131"/>
      <c r="B203" s="132"/>
      <c r="C203" s="132"/>
      <c r="D203" s="132"/>
      <c r="E203" s="132"/>
      <c r="F203" s="160"/>
      <c r="G203" s="160"/>
      <c r="H203" s="160"/>
      <c r="I203" s="160"/>
      <c r="J203" s="133"/>
    </row>
    <row r="205" spans="1:10" ht="13.5" thickBot="1">
      <c r="A205" s="158" t="s">
        <v>205</v>
      </c>
      <c r="B205" s="158"/>
      <c r="C205" s="159" t="str">
        <f>VLOOKUP(H205,AccNames,2,0)</f>
        <v>Purchases</v>
      </c>
      <c r="D205" s="158"/>
      <c r="E205" s="158"/>
      <c r="F205" s="158"/>
      <c r="G205" s="158" t="s">
        <v>206</v>
      </c>
      <c r="H205" s="159">
        <f>'Assumptions (an)'!B20</f>
        <v>511</v>
      </c>
      <c r="I205" s="158"/>
      <c r="J205" s="158"/>
    </row>
    <row r="206" spans="1:10" ht="14.25" thickBot="1" thickTop="1">
      <c r="A206" s="258"/>
      <c r="B206" s="260" t="s">
        <v>17</v>
      </c>
      <c r="C206" s="261"/>
      <c r="D206" s="260" t="s">
        <v>207</v>
      </c>
      <c r="E206" s="260" t="s">
        <v>177</v>
      </c>
      <c r="F206" s="264" t="s">
        <v>38</v>
      </c>
      <c r="G206" s="264" t="s">
        <v>39</v>
      </c>
      <c r="H206" s="266" t="s">
        <v>208</v>
      </c>
      <c r="I206" s="267"/>
      <c r="J206" s="268"/>
    </row>
    <row r="207" spans="1:10" ht="13.5" thickTop="1">
      <c r="A207" s="259"/>
      <c r="B207" s="262"/>
      <c r="C207" s="263"/>
      <c r="D207" s="262"/>
      <c r="E207" s="262"/>
      <c r="F207" s="265"/>
      <c r="G207" s="265"/>
      <c r="H207" s="145" t="s">
        <v>38</v>
      </c>
      <c r="I207" s="145" t="s">
        <v>39</v>
      </c>
      <c r="J207" s="269"/>
    </row>
    <row r="208" spans="1:10" ht="12.75">
      <c r="A208" s="131"/>
      <c r="B208" s="132" t="str">
        <f>'Assumptions (an)'!$G$31</f>
        <v>2006</v>
      </c>
      <c r="C208" s="132"/>
      <c r="D208" s="132"/>
      <c r="E208" s="132"/>
      <c r="F208" s="160"/>
      <c r="G208" s="160"/>
      <c r="H208" s="160"/>
      <c r="I208" s="160"/>
      <c r="J208" s="133"/>
    </row>
    <row r="209" spans="1:10" ht="12.75">
      <c r="A209" s="131"/>
      <c r="B209" s="132" t="str">
        <f>'Assumptions (an)'!$G$32</f>
        <v>Jan.</v>
      </c>
      <c r="C209" s="181">
        <f>'Purchase (an)'!C6</f>
        <v>31</v>
      </c>
      <c r="D209" s="132"/>
      <c r="E209" s="162" t="str">
        <f>'Purchase (an)'!J1</f>
        <v>PJ56</v>
      </c>
      <c r="F209" s="160">
        <f>'Purchase (an)'!L6</f>
        <v>7620</v>
      </c>
      <c r="G209" s="160"/>
      <c r="H209" s="160">
        <f>F209</f>
        <v>7620</v>
      </c>
      <c r="I209" s="160"/>
      <c r="J209" s="133"/>
    </row>
    <row r="210" spans="1:10" ht="12.75">
      <c r="A210" s="131"/>
      <c r="B210" s="132"/>
      <c r="C210" s="132"/>
      <c r="D210" s="132"/>
      <c r="E210" s="132"/>
      <c r="F210" s="160"/>
      <c r="G210" s="160"/>
      <c r="H210" s="160"/>
      <c r="I210" s="160"/>
      <c r="J210" s="133"/>
    </row>
    <row r="211" spans="1:10" ht="12.75">
      <c r="A211" s="131"/>
      <c r="B211" s="132"/>
      <c r="C211" s="132"/>
      <c r="D211" s="132"/>
      <c r="E211" s="132"/>
      <c r="F211" s="160"/>
      <c r="G211" s="160"/>
      <c r="H211" s="160"/>
      <c r="I211" s="160"/>
      <c r="J211" s="133"/>
    </row>
    <row r="212" spans="1:10" ht="12.75">
      <c r="A212" s="131"/>
      <c r="B212" s="132"/>
      <c r="C212" s="132"/>
      <c r="D212" s="132"/>
      <c r="E212" s="132"/>
      <c r="F212" s="160"/>
      <c r="G212" s="160"/>
      <c r="H212" s="160"/>
      <c r="I212" s="160"/>
      <c r="J212" s="133"/>
    </row>
    <row r="213" spans="1:10" ht="12.75">
      <c r="A213" s="131"/>
      <c r="B213" s="132"/>
      <c r="C213" s="132"/>
      <c r="D213" s="132"/>
      <c r="E213" s="132"/>
      <c r="F213" s="160"/>
      <c r="G213" s="160"/>
      <c r="H213" s="160"/>
      <c r="I213" s="160"/>
      <c r="J213" s="133"/>
    </row>
    <row r="214" spans="1:10" ht="12.75">
      <c r="A214" s="131"/>
      <c r="B214" s="132"/>
      <c r="C214" s="132"/>
      <c r="D214" s="132"/>
      <c r="E214" s="132"/>
      <c r="F214" s="160"/>
      <c r="G214" s="160"/>
      <c r="H214" s="160"/>
      <c r="I214" s="160"/>
      <c r="J214" s="133"/>
    </row>
    <row r="215" spans="1:10" ht="12.75">
      <c r="A215" s="131"/>
      <c r="B215" s="132"/>
      <c r="C215" s="132"/>
      <c r="D215" s="132"/>
      <c r="E215" s="132"/>
      <c r="F215" s="160"/>
      <c r="G215" s="160"/>
      <c r="H215" s="160"/>
      <c r="I215" s="160"/>
      <c r="J215" s="133"/>
    </row>
    <row r="217" spans="1:10" ht="13.5" thickBot="1">
      <c r="A217" s="158" t="s">
        <v>205</v>
      </c>
      <c r="B217" s="158"/>
      <c r="C217" s="159" t="str">
        <f>VLOOKUP(H217,AccNames,2,0)</f>
        <v>Purchases Returns and Allowances</v>
      </c>
      <c r="D217" s="158"/>
      <c r="E217" s="158"/>
      <c r="F217" s="158"/>
      <c r="G217" s="158" t="s">
        <v>206</v>
      </c>
      <c r="H217" s="159">
        <f>'Assumptions (an)'!B21</f>
        <v>512</v>
      </c>
      <c r="I217" s="158"/>
      <c r="J217" s="158"/>
    </row>
    <row r="218" spans="1:10" ht="14.25" thickBot="1" thickTop="1">
      <c r="A218" s="258"/>
      <c r="B218" s="260" t="s">
        <v>17</v>
      </c>
      <c r="C218" s="261"/>
      <c r="D218" s="260" t="s">
        <v>207</v>
      </c>
      <c r="E218" s="260" t="s">
        <v>177</v>
      </c>
      <c r="F218" s="264" t="s">
        <v>38</v>
      </c>
      <c r="G218" s="264" t="s">
        <v>39</v>
      </c>
      <c r="H218" s="266" t="s">
        <v>208</v>
      </c>
      <c r="I218" s="267"/>
      <c r="J218" s="268"/>
    </row>
    <row r="219" spans="1:10" ht="13.5" thickTop="1">
      <c r="A219" s="259"/>
      <c r="B219" s="262"/>
      <c r="C219" s="263"/>
      <c r="D219" s="262"/>
      <c r="E219" s="262"/>
      <c r="F219" s="265"/>
      <c r="G219" s="265"/>
      <c r="H219" s="145" t="s">
        <v>38</v>
      </c>
      <c r="I219" s="145" t="s">
        <v>39</v>
      </c>
      <c r="J219" s="269"/>
    </row>
    <row r="220" spans="1:10" ht="12.75">
      <c r="A220" s="131"/>
      <c r="B220" s="132" t="str">
        <f>'Assumptions (an)'!$G$31</f>
        <v>2006</v>
      </c>
      <c r="C220" s="132"/>
      <c r="D220" s="132"/>
      <c r="E220" s="132"/>
      <c r="F220" s="160"/>
      <c r="G220" s="160"/>
      <c r="H220" s="160"/>
      <c r="I220" s="160"/>
      <c r="J220" s="133"/>
    </row>
    <row r="221" spans="1:10" ht="12.75">
      <c r="A221" s="131"/>
      <c r="B221" s="132" t="str">
        <f>'Assumptions (an)'!$G$32</f>
        <v>Jan.</v>
      </c>
      <c r="C221" s="132">
        <f>'General (an)'!C12</f>
        <v>23</v>
      </c>
      <c r="D221" s="132"/>
      <c r="E221" s="162" t="str">
        <f>'General (an)'!H1</f>
        <v>GL100</v>
      </c>
      <c r="F221" s="160"/>
      <c r="G221" s="160">
        <f>'General (an)'!H13</f>
        <v>425</v>
      </c>
      <c r="H221" s="160"/>
      <c r="I221" s="160">
        <f>G221</f>
        <v>425</v>
      </c>
      <c r="J221" s="133"/>
    </row>
    <row r="222" spans="1:10" ht="12.75">
      <c r="A222" s="131"/>
      <c r="B222" s="132"/>
      <c r="C222" s="132"/>
      <c r="D222" s="132"/>
      <c r="E222" s="132"/>
      <c r="F222" s="160"/>
      <c r="G222" s="160"/>
      <c r="H222" s="160"/>
      <c r="I222" s="160"/>
      <c r="J222" s="133"/>
    </row>
    <row r="223" spans="1:10" ht="12.75">
      <c r="A223" s="131"/>
      <c r="B223" s="132"/>
      <c r="C223" s="132"/>
      <c r="D223" s="132"/>
      <c r="E223" s="132"/>
      <c r="F223" s="160"/>
      <c r="G223" s="160"/>
      <c r="H223" s="160"/>
      <c r="I223" s="160"/>
      <c r="J223" s="133"/>
    </row>
    <row r="224" spans="1:10" ht="12.75">
      <c r="A224" s="131"/>
      <c r="B224" s="132"/>
      <c r="C224" s="132"/>
      <c r="D224" s="132"/>
      <c r="E224" s="132"/>
      <c r="F224" s="160"/>
      <c r="G224" s="160"/>
      <c r="H224" s="160"/>
      <c r="I224" s="160"/>
      <c r="J224" s="133"/>
    </row>
    <row r="225" spans="1:10" ht="12.75">
      <c r="A225" s="131"/>
      <c r="B225" s="132"/>
      <c r="C225" s="132"/>
      <c r="D225" s="132"/>
      <c r="E225" s="132"/>
      <c r="F225" s="160"/>
      <c r="G225" s="160"/>
      <c r="H225" s="160"/>
      <c r="I225" s="160"/>
      <c r="J225" s="133"/>
    </row>
    <row r="226" spans="1:10" ht="12.75">
      <c r="A226" s="131"/>
      <c r="B226" s="132"/>
      <c r="C226" s="132"/>
      <c r="D226" s="132"/>
      <c r="E226" s="132"/>
      <c r="F226" s="160"/>
      <c r="G226" s="160"/>
      <c r="H226" s="160"/>
      <c r="I226" s="160"/>
      <c r="J226" s="133"/>
    </row>
    <row r="227" spans="1:10" ht="12.75">
      <c r="A227" s="131"/>
      <c r="B227" s="132"/>
      <c r="C227" s="132"/>
      <c r="D227" s="132"/>
      <c r="E227" s="132"/>
      <c r="F227" s="160"/>
      <c r="G227" s="160"/>
      <c r="H227" s="160"/>
      <c r="I227" s="160"/>
      <c r="J227" s="133"/>
    </row>
    <row r="229" spans="1:10" ht="13.5" thickBot="1">
      <c r="A229" s="158" t="s">
        <v>205</v>
      </c>
      <c r="B229" s="158"/>
      <c r="C229" s="159" t="str">
        <f>VLOOKUP(H229,AccNames,2,0)</f>
        <v>Purchases Discounts</v>
      </c>
      <c r="D229" s="158"/>
      <c r="E229" s="158"/>
      <c r="F229" s="158"/>
      <c r="G229" s="158" t="s">
        <v>206</v>
      </c>
      <c r="H229" s="159">
        <f>'Assumptions (an)'!B22</f>
        <v>513</v>
      </c>
      <c r="I229" s="158"/>
      <c r="J229" s="158"/>
    </row>
    <row r="230" spans="1:10" ht="14.25" thickBot="1" thickTop="1">
      <c r="A230" s="258"/>
      <c r="B230" s="260" t="s">
        <v>17</v>
      </c>
      <c r="C230" s="261"/>
      <c r="D230" s="260" t="s">
        <v>207</v>
      </c>
      <c r="E230" s="260" t="s">
        <v>177</v>
      </c>
      <c r="F230" s="264" t="s">
        <v>38</v>
      </c>
      <c r="G230" s="264" t="s">
        <v>39</v>
      </c>
      <c r="H230" s="266" t="s">
        <v>208</v>
      </c>
      <c r="I230" s="267"/>
      <c r="J230" s="268"/>
    </row>
    <row r="231" spans="1:10" ht="13.5" thickTop="1">
      <c r="A231" s="259"/>
      <c r="B231" s="262"/>
      <c r="C231" s="263"/>
      <c r="D231" s="262"/>
      <c r="E231" s="262"/>
      <c r="F231" s="265"/>
      <c r="G231" s="265"/>
      <c r="H231" s="145" t="s">
        <v>38</v>
      </c>
      <c r="I231" s="145" t="s">
        <v>39</v>
      </c>
      <c r="J231" s="269"/>
    </row>
    <row r="232" spans="1:10" ht="12.75">
      <c r="A232" s="131"/>
      <c r="B232" s="132" t="str">
        <f>'Assumptions (an)'!$G$31</f>
        <v>2006</v>
      </c>
      <c r="C232" s="132"/>
      <c r="D232" s="132"/>
      <c r="E232" s="132"/>
      <c r="F232" s="160"/>
      <c r="G232" s="160"/>
      <c r="H232" s="160"/>
      <c r="I232" s="160"/>
      <c r="J232" s="133"/>
    </row>
    <row r="233" spans="1:10" ht="12.75">
      <c r="A233" s="131"/>
      <c r="B233" s="132" t="str">
        <f>'Assumptions (an)'!$G$32</f>
        <v>Jan.</v>
      </c>
      <c r="C233" s="132">
        <f>'Cash Pay. (an)'!C12</f>
        <v>31</v>
      </c>
      <c r="D233" s="132"/>
      <c r="E233" s="162" t="str">
        <f>'Cash Pay. (an)'!I1</f>
        <v>CP45</v>
      </c>
      <c r="F233" s="160"/>
      <c r="G233" s="160">
        <f>'Cash Pay. (an)'!I12</f>
        <v>66.8</v>
      </c>
      <c r="H233" s="160"/>
      <c r="I233" s="160">
        <f>G233</f>
        <v>66.8</v>
      </c>
      <c r="J233" s="133"/>
    </row>
    <row r="234" spans="1:10" ht="12.75">
      <c r="A234" s="131"/>
      <c r="B234" s="132"/>
      <c r="C234" s="132"/>
      <c r="D234" s="132"/>
      <c r="E234" s="132"/>
      <c r="F234" s="160"/>
      <c r="G234" s="160"/>
      <c r="H234" s="160"/>
      <c r="I234" s="160"/>
      <c r="J234" s="133"/>
    </row>
    <row r="235" spans="1:10" ht="12.75">
      <c r="A235" s="131"/>
      <c r="B235" s="132"/>
      <c r="C235" s="132"/>
      <c r="D235" s="132"/>
      <c r="E235" s="132"/>
      <c r="F235" s="160"/>
      <c r="G235" s="160"/>
      <c r="H235" s="160"/>
      <c r="I235" s="160"/>
      <c r="J235" s="133"/>
    </row>
    <row r="236" spans="1:10" ht="12.75">
      <c r="A236" s="131"/>
      <c r="B236" s="132"/>
      <c r="C236" s="132"/>
      <c r="D236" s="132"/>
      <c r="E236" s="132"/>
      <c r="F236" s="160"/>
      <c r="G236" s="160"/>
      <c r="H236" s="160"/>
      <c r="I236" s="160"/>
      <c r="J236" s="133"/>
    </row>
    <row r="237" spans="1:10" ht="12.75">
      <c r="A237" s="131"/>
      <c r="B237" s="132"/>
      <c r="C237" s="132"/>
      <c r="D237" s="132"/>
      <c r="E237" s="132"/>
      <c r="F237" s="160"/>
      <c r="G237" s="160"/>
      <c r="H237" s="160"/>
      <c r="I237" s="160"/>
      <c r="J237" s="133"/>
    </row>
    <row r="238" spans="1:10" ht="12.75">
      <c r="A238" s="131"/>
      <c r="B238" s="132"/>
      <c r="C238" s="132"/>
      <c r="D238" s="132"/>
      <c r="E238" s="132"/>
      <c r="F238" s="160"/>
      <c r="G238" s="160"/>
      <c r="H238" s="160"/>
      <c r="I238" s="160"/>
      <c r="J238" s="133"/>
    </row>
    <row r="239" spans="1:10" ht="12.75">
      <c r="A239" s="131"/>
      <c r="B239" s="132"/>
      <c r="C239" s="132"/>
      <c r="D239" s="132"/>
      <c r="E239" s="132"/>
      <c r="F239" s="160"/>
      <c r="G239" s="160"/>
      <c r="H239" s="160"/>
      <c r="I239" s="160"/>
      <c r="J239" s="133"/>
    </row>
    <row r="241" spans="1:10" ht="13.5" thickBot="1">
      <c r="A241" s="158" t="s">
        <v>205</v>
      </c>
      <c r="B241" s="158"/>
      <c r="C241" s="159" t="str">
        <f>VLOOKUP(H241,AccNames,2,0)</f>
        <v>Freight In</v>
      </c>
      <c r="D241" s="158"/>
      <c r="E241" s="158"/>
      <c r="F241" s="158"/>
      <c r="G241" s="158" t="s">
        <v>206</v>
      </c>
      <c r="H241" s="159">
        <f>'Assumptions (an)'!B23</f>
        <v>514</v>
      </c>
      <c r="I241" s="158"/>
      <c r="J241" s="158"/>
    </row>
    <row r="242" spans="1:10" ht="14.25" thickBot="1" thickTop="1">
      <c r="A242" s="258"/>
      <c r="B242" s="260" t="s">
        <v>17</v>
      </c>
      <c r="C242" s="261"/>
      <c r="D242" s="260" t="s">
        <v>207</v>
      </c>
      <c r="E242" s="260" t="s">
        <v>177</v>
      </c>
      <c r="F242" s="264" t="s">
        <v>38</v>
      </c>
      <c r="G242" s="264" t="s">
        <v>39</v>
      </c>
      <c r="H242" s="266" t="s">
        <v>208</v>
      </c>
      <c r="I242" s="267"/>
      <c r="J242" s="268"/>
    </row>
    <row r="243" spans="1:10" ht="13.5" thickTop="1">
      <c r="A243" s="259"/>
      <c r="B243" s="262"/>
      <c r="C243" s="263"/>
      <c r="D243" s="262"/>
      <c r="E243" s="262"/>
      <c r="F243" s="265"/>
      <c r="G243" s="265"/>
      <c r="H243" s="145" t="s">
        <v>38</v>
      </c>
      <c r="I243" s="145" t="s">
        <v>39</v>
      </c>
      <c r="J243" s="269"/>
    </row>
    <row r="244" spans="1:10" ht="12.75">
      <c r="A244" s="131"/>
      <c r="B244" s="132" t="str">
        <f>'Assumptions (an)'!$G$31</f>
        <v>2006</v>
      </c>
      <c r="C244" s="132"/>
      <c r="D244" s="132"/>
      <c r="E244" s="132"/>
      <c r="F244" s="160"/>
      <c r="G244" s="160"/>
      <c r="H244" s="160"/>
      <c r="I244" s="160"/>
      <c r="J244" s="133"/>
    </row>
    <row r="245" spans="1:10" ht="12.75">
      <c r="A245" s="131"/>
      <c r="B245" s="132" t="str">
        <f>'Assumptions (an)'!$G$32</f>
        <v>Jan.</v>
      </c>
      <c r="C245" s="132">
        <f>'Cash Pay. (an)'!C8</f>
        <v>23</v>
      </c>
      <c r="D245" s="132"/>
      <c r="E245" s="162" t="str">
        <f>'Cash Pay. (an)'!I1</f>
        <v>CP45</v>
      </c>
      <c r="F245" s="160">
        <f>'Cash Pay. (an)'!G8</f>
        <v>150</v>
      </c>
      <c r="G245" s="160"/>
      <c r="H245" s="160">
        <f>F245</f>
        <v>150</v>
      </c>
      <c r="I245" s="160"/>
      <c r="J245" s="133"/>
    </row>
    <row r="246" spans="1:10" ht="12.75">
      <c r="A246" s="131"/>
      <c r="B246" s="132"/>
      <c r="C246" s="132">
        <f>'Purchase (an)'!C6</f>
        <v>31</v>
      </c>
      <c r="D246" s="132"/>
      <c r="E246" s="132" t="str">
        <f>'Purchase (an)'!J1</f>
        <v>PJ56</v>
      </c>
      <c r="F246" s="160">
        <f>'Purchase (an)'!K6</f>
        <v>150</v>
      </c>
      <c r="G246" s="160"/>
      <c r="H246" s="160">
        <f>H245+F246</f>
        <v>300</v>
      </c>
      <c r="I246" s="160"/>
      <c r="J246" s="133"/>
    </row>
    <row r="247" spans="1:10" ht="12.75">
      <c r="A247" s="131"/>
      <c r="B247" s="132"/>
      <c r="C247" s="132"/>
      <c r="D247" s="132"/>
      <c r="E247" s="132"/>
      <c r="F247" s="160"/>
      <c r="G247" s="160"/>
      <c r="H247" s="160"/>
      <c r="I247" s="160"/>
      <c r="J247" s="133"/>
    </row>
    <row r="248" spans="1:10" ht="12.75">
      <c r="A248" s="131"/>
      <c r="B248" s="132"/>
      <c r="C248" s="132"/>
      <c r="D248" s="132"/>
      <c r="E248" s="132"/>
      <c r="F248" s="160"/>
      <c r="G248" s="160"/>
      <c r="H248" s="160"/>
      <c r="I248" s="160"/>
      <c r="J248" s="133"/>
    </row>
    <row r="249" spans="1:10" ht="12.75">
      <c r="A249" s="131"/>
      <c r="B249" s="132"/>
      <c r="C249" s="132"/>
      <c r="D249" s="132"/>
      <c r="E249" s="132"/>
      <c r="F249" s="160"/>
      <c r="G249" s="160"/>
      <c r="H249" s="160"/>
      <c r="I249" s="160"/>
      <c r="J249" s="133"/>
    </row>
    <row r="250" spans="1:10" ht="12.75">
      <c r="A250" s="131"/>
      <c r="B250" s="132"/>
      <c r="C250" s="132"/>
      <c r="D250" s="132"/>
      <c r="E250" s="132"/>
      <c r="F250" s="160"/>
      <c r="G250" s="160"/>
      <c r="H250" s="160"/>
      <c r="I250" s="160"/>
      <c r="J250" s="133"/>
    </row>
    <row r="251" spans="1:10" ht="12.75">
      <c r="A251" s="131"/>
      <c r="B251" s="132"/>
      <c r="C251" s="132"/>
      <c r="D251" s="132"/>
      <c r="E251" s="132"/>
      <c r="F251" s="160"/>
      <c r="G251" s="160"/>
      <c r="H251" s="160"/>
      <c r="I251" s="160"/>
      <c r="J251" s="133"/>
    </row>
    <row r="253" spans="1:10" ht="13.5" thickBot="1">
      <c r="A253" s="158" t="s">
        <v>205</v>
      </c>
      <c r="B253" s="158"/>
      <c r="C253" s="159" t="str">
        <f>VLOOKUP(H253,AccNames,2,0)</f>
        <v>Salaries Expense</v>
      </c>
      <c r="D253" s="158"/>
      <c r="E253" s="158"/>
      <c r="F253" s="158"/>
      <c r="G253" s="158" t="s">
        <v>206</v>
      </c>
      <c r="H253" s="159">
        <f>'Assumptions (an)'!B24</f>
        <v>521</v>
      </c>
      <c r="I253" s="158"/>
      <c r="J253" s="158"/>
    </row>
    <row r="254" spans="1:10" ht="14.25" thickBot="1" thickTop="1">
      <c r="A254" s="258"/>
      <c r="B254" s="260" t="s">
        <v>17</v>
      </c>
      <c r="C254" s="261"/>
      <c r="D254" s="260" t="s">
        <v>207</v>
      </c>
      <c r="E254" s="260" t="s">
        <v>177</v>
      </c>
      <c r="F254" s="264" t="s">
        <v>38</v>
      </c>
      <c r="G254" s="264" t="s">
        <v>39</v>
      </c>
      <c r="H254" s="266" t="s">
        <v>208</v>
      </c>
      <c r="I254" s="267"/>
      <c r="J254" s="268"/>
    </row>
    <row r="255" spans="1:10" ht="13.5" thickTop="1">
      <c r="A255" s="259"/>
      <c r="B255" s="262"/>
      <c r="C255" s="263"/>
      <c r="D255" s="262"/>
      <c r="E255" s="262"/>
      <c r="F255" s="265"/>
      <c r="G255" s="265"/>
      <c r="H255" s="145" t="s">
        <v>38</v>
      </c>
      <c r="I255" s="145" t="s">
        <v>39</v>
      </c>
      <c r="J255" s="269"/>
    </row>
    <row r="256" spans="1:10" ht="12.75">
      <c r="A256" s="131"/>
      <c r="B256" s="132" t="str">
        <f>'Assumptions (an)'!$G$31</f>
        <v>2006</v>
      </c>
      <c r="C256" s="132"/>
      <c r="D256" s="132"/>
      <c r="E256" s="132"/>
      <c r="F256" s="160"/>
      <c r="G256" s="160"/>
      <c r="H256" s="160"/>
      <c r="I256" s="160"/>
      <c r="J256" s="133"/>
    </row>
    <row r="257" spans="1:10" ht="12.75">
      <c r="A257" s="131"/>
      <c r="B257" s="132" t="str">
        <f>'Assumptions (an)'!$G$32</f>
        <v>Jan.</v>
      </c>
      <c r="C257" s="132">
        <f>'General (an)'!C16</f>
        <v>31</v>
      </c>
      <c r="D257" s="132"/>
      <c r="E257" s="162" t="str">
        <f>'General (an)'!H1</f>
        <v>GL100</v>
      </c>
      <c r="F257" s="160">
        <f>'General (an)'!G16</f>
        <v>6100</v>
      </c>
      <c r="G257" s="160"/>
      <c r="H257" s="160">
        <f>F257</f>
        <v>6100</v>
      </c>
      <c r="I257" s="160"/>
      <c r="J257" s="133"/>
    </row>
    <row r="258" spans="1:10" ht="12.75">
      <c r="A258" s="131"/>
      <c r="B258" s="132"/>
      <c r="C258" s="132"/>
      <c r="D258" s="132"/>
      <c r="E258" s="132"/>
      <c r="F258" s="160"/>
      <c r="G258" s="160"/>
      <c r="H258" s="160"/>
      <c r="I258" s="160"/>
      <c r="J258" s="133"/>
    </row>
    <row r="259" spans="1:10" ht="12.75">
      <c r="A259" s="131"/>
      <c r="B259" s="132"/>
      <c r="C259" s="132"/>
      <c r="D259" s="132"/>
      <c r="E259" s="132"/>
      <c r="F259" s="160"/>
      <c r="G259" s="160"/>
      <c r="H259" s="160"/>
      <c r="I259" s="160"/>
      <c r="J259" s="133"/>
    </row>
    <row r="260" spans="1:10" ht="12.75">
      <c r="A260" s="131"/>
      <c r="B260" s="132"/>
      <c r="C260" s="132"/>
      <c r="D260" s="132"/>
      <c r="E260" s="132"/>
      <c r="F260" s="160"/>
      <c r="G260" s="160"/>
      <c r="H260" s="160"/>
      <c r="I260" s="160"/>
      <c r="J260" s="133"/>
    </row>
    <row r="261" spans="1:10" ht="12.75">
      <c r="A261" s="131"/>
      <c r="B261" s="132"/>
      <c r="C261" s="132"/>
      <c r="D261" s="132"/>
      <c r="E261" s="132"/>
      <c r="F261" s="160"/>
      <c r="G261" s="160"/>
      <c r="H261" s="160"/>
      <c r="I261" s="160"/>
      <c r="J261" s="133"/>
    </row>
    <row r="262" spans="1:10" ht="12.75">
      <c r="A262" s="131"/>
      <c r="B262" s="132"/>
      <c r="C262" s="132"/>
      <c r="D262" s="132"/>
      <c r="E262" s="132"/>
      <c r="F262" s="160"/>
      <c r="G262" s="160"/>
      <c r="H262" s="160"/>
      <c r="I262" s="160"/>
      <c r="J262" s="133"/>
    </row>
    <row r="263" spans="1:10" ht="12.75">
      <c r="A263" s="131"/>
      <c r="B263" s="132"/>
      <c r="C263" s="132"/>
      <c r="D263" s="132"/>
      <c r="E263" s="132"/>
      <c r="F263" s="160"/>
      <c r="G263" s="160"/>
      <c r="H263" s="160"/>
      <c r="I263" s="160"/>
      <c r="J263" s="133"/>
    </row>
    <row r="265" spans="1:10" ht="13.5" thickBot="1">
      <c r="A265" s="158" t="s">
        <v>205</v>
      </c>
      <c r="B265" s="158"/>
      <c r="C265" s="159" t="str">
        <f>VLOOKUP(H265,AccNames,2,0)</f>
        <v>Payroll Tax Expense</v>
      </c>
      <c r="D265" s="158"/>
      <c r="E265" s="158"/>
      <c r="F265" s="158"/>
      <c r="G265" s="158" t="s">
        <v>206</v>
      </c>
      <c r="H265" s="159">
        <f>'Assumptions (an)'!B25</f>
        <v>522</v>
      </c>
      <c r="I265" s="158"/>
      <c r="J265" s="158"/>
    </row>
    <row r="266" spans="1:10" ht="14.25" thickBot="1" thickTop="1">
      <c r="A266" s="258"/>
      <c r="B266" s="260" t="s">
        <v>17</v>
      </c>
      <c r="C266" s="261"/>
      <c r="D266" s="260" t="s">
        <v>207</v>
      </c>
      <c r="E266" s="260" t="s">
        <v>177</v>
      </c>
      <c r="F266" s="264" t="s">
        <v>38</v>
      </c>
      <c r="G266" s="264" t="s">
        <v>39</v>
      </c>
      <c r="H266" s="266" t="s">
        <v>208</v>
      </c>
      <c r="I266" s="267"/>
      <c r="J266" s="268"/>
    </row>
    <row r="267" spans="1:10" ht="13.5" thickTop="1">
      <c r="A267" s="259"/>
      <c r="B267" s="262"/>
      <c r="C267" s="263"/>
      <c r="D267" s="262"/>
      <c r="E267" s="262"/>
      <c r="F267" s="265"/>
      <c r="G267" s="265"/>
      <c r="H267" s="145" t="s">
        <v>38</v>
      </c>
      <c r="I267" s="145" t="s">
        <v>39</v>
      </c>
      <c r="J267" s="269"/>
    </row>
    <row r="268" spans="1:10" ht="12.75">
      <c r="A268" s="131"/>
      <c r="B268" s="132" t="str">
        <f>'Assumptions (an)'!$G$31</f>
        <v>2006</v>
      </c>
      <c r="C268" s="132"/>
      <c r="D268" s="132"/>
      <c r="E268" s="132"/>
      <c r="F268" s="160"/>
      <c r="G268" s="160"/>
      <c r="H268" s="160"/>
      <c r="I268" s="160"/>
      <c r="J268" s="133"/>
    </row>
    <row r="269" spans="1:10" ht="12.75">
      <c r="A269" s="131"/>
      <c r="B269" s="132" t="str">
        <f>'Assumptions (an)'!$G$32</f>
        <v>Jan.</v>
      </c>
      <c r="C269" s="132">
        <f>'General (an)'!C22</f>
        <v>31</v>
      </c>
      <c r="D269" s="132"/>
      <c r="E269" s="162" t="str">
        <f>'General (an)'!H1</f>
        <v>GL100</v>
      </c>
      <c r="F269" s="160">
        <f>'General (an)'!G22</f>
        <v>844.8499999999999</v>
      </c>
      <c r="G269" s="160"/>
      <c r="H269" s="160">
        <f>F269</f>
        <v>844.8499999999999</v>
      </c>
      <c r="I269" s="160"/>
      <c r="J269" s="133"/>
    </row>
    <row r="270" spans="1:10" ht="12.75">
      <c r="A270" s="131"/>
      <c r="B270" s="132"/>
      <c r="C270" s="132"/>
      <c r="D270" s="132"/>
      <c r="E270" s="132"/>
      <c r="F270" s="160"/>
      <c r="G270" s="160"/>
      <c r="H270" s="160"/>
      <c r="I270" s="160"/>
      <c r="J270" s="133"/>
    </row>
    <row r="271" spans="1:10" ht="12.75">
      <c r="A271" s="131"/>
      <c r="B271" s="132"/>
      <c r="C271" s="132"/>
      <c r="D271" s="132"/>
      <c r="E271" s="132"/>
      <c r="F271" s="160"/>
      <c r="G271" s="160"/>
      <c r="H271" s="160"/>
      <c r="I271" s="160"/>
      <c r="J271" s="133"/>
    </row>
    <row r="272" spans="1:10" ht="12.75">
      <c r="A272" s="131"/>
      <c r="B272" s="132"/>
      <c r="C272" s="132"/>
      <c r="D272" s="132"/>
      <c r="E272" s="132"/>
      <c r="F272" s="160"/>
      <c r="G272" s="160"/>
      <c r="H272" s="160"/>
      <c r="I272" s="160"/>
      <c r="J272" s="133"/>
    </row>
    <row r="273" spans="1:10" ht="12.75">
      <c r="A273" s="131"/>
      <c r="B273" s="132"/>
      <c r="C273" s="132"/>
      <c r="D273" s="132"/>
      <c r="E273" s="132"/>
      <c r="F273" s="160"/>
      <c r="G273" s="160"/>
      <c r="H273" s="160"/>
      <c r="I273" s="160"/>
      <c r="J273" s="133"/>
    </row>
    <row r="274" spans="1:10" ht="12.75">
      <c r="A274" s="131"/>
      <c r="B274" s="132"/>
      <c r="C274" s="132"/>
      <c r="D274" s="132"/>
      <c r="E274" s="132"/>
      <c r="F274" s="160"/>
      <c r="G274" s="160"/>
      <c r="H274" s="160"/>
      <c r="I274" s="160"/>
      <c r="J274" s="133"/>
    </row>
    <row r="275" spans="1:10" ht="12.75">
      <c r="A275" s="131"/>
      <c r="B275" s="132"/>
      <c r="C275" s="132"/>
      <c r="D275" s="132"/>
      <c r="E275" s="132"/>
      <c r="F275" s="160"/>
      <c r="G275" s="160"/>
      <c r="H275" s="160"/>
      <c r="I275" s="160"/>
      <c r="J275" s="133"/>
    </row>
    <row r="277" spans="1:10" ht="13.5" thickBot="1">
      <c r="A277" s="158" t="s">
        <v>205</v>
      </c>
      <c r="B277" s="158"/>
      <c r="C277" s="159" t="str">
        <f>VLOOKUP(H277,AccNames,2,0)</f>
        <v>Rent Expense</v>
      </c>
      <c r="D277" s="158"/>
      <c r="E277" s="158"/>
      <c r="F277" s="158"/>
      <c r="G277" s="158" t="s">
        <v>206</v>
      </c>
      <c r="H277" s="159">
        <f>'Assumptions (an)'!B26</f>
        <v>527</v>
      </c>
      <c r="I277" s="158"/>
      <c r="J277" s="158"/>
    </row>
    <row r="278" spans="1:10" ht="14.25" thickBot="1" thickTop="1">
      <c r="A278" s="258"/>
      <c r="B278" s="260" t="s">
        <v>17</v>
      </c>
      <c r="C278" s="261"/>
      <c r="D278" s="260" t="s">
        <v>207</v>
      </c>
      <c r="E278" s="260" t="s">
        <v>177</v>
      </c>
      <c r="F278" s="264" t="s">
        <v>38</v>
      </c>
      <c r="G278" s="264" t="s">
        <v>39</v>
      </c>
      <c r="H278" s="266" t="s">
        <v>208</v>
      </c>
      <c r="I278" s="267"/>
      <c r="J278" s="268"/>
    </row>
    <row r="279" spans="1:10" ht="13.5" thickTop="1">
      <c r="A279" s="259"/>
      <c r="B279" s="262"/>
      <c r="C279" s="263"/>
      <c r="D279" s="262"/>
      <c r="E279" s="262"/>
      <c r="F279" s="265"/>
      <c r="G279" s="265"/>
      <c r="H279" s="145" t="s">
        <v>38</v>
      </c>
      <c r="I279" s="145" t="s">
        <v>39</v>
      </c>
      <c r="J279" s="269"/>
    </row>
    <row r="280" spans="1:10" ht="12.75">
      <c r="A280" s="131"/>
      <c r="B280" s="132" t="str">
        <f>'Assumptions (an)'!$G$31</f>
        <v>2006</v>
      </c>
      <c r="C280" s="132"/>
      <c r="D280" s="132"/>
      <c r="E280" s="132"/>
      <c r="F280" s="160"/>
      <c r="G280" s="160"/>
      <c r="H280" s="160"/>
      <c r="I280" s="160"/>
      <c r="J280" s="133"/>
    </row>
    <row r="281" spans="1:10" ht="12.75">
      <c r="A281" s="131"/>
      <c r="B281" s="132" t="str">
        <f>'Assumptions (an)'!$G$32</f>
        <v>Jan.</v>
      </c>
      <c r="C281" s="132">
        <f>'Cash Pay. (an)'!C4</f>
        <v>2</v>
      </c>
      <c r="D281" s="132"/>
      <c r="E281" s="162" t="str">
        <f>'Cash Pay. (an)'!I1</f>
        <v>CP45</v>
      </c>
      <c r="F281" s="160">
        <f>'Cash Pay. (an)'!G4</f>
        <v>600</v>
      </c>
      <c r="G281" s="160"/>
      <c r="H281" s="160">
        <f>F281</f>
        <v>600</v>
      </c>
      <c r="I281" s="160"/>
      <c r="J281" s="133"/>
    </row>
    <row r="282" spans="1:10" ht="12.75">
      <c r="A282" s="131"/>
      <c r="B282" s="132"/>
      <c r="C282" s="132"/>
      <c r="D282" s="132"/>
      <c r="E282" s="132"/>
      <c r="F282" s="160"/>
      <c r="G282" s="160"/>
      <c r="H282" s="160"/>
      <c r="I282" s="160"/>
      <c r="J282" s="133"/>
    </row>
    <row r="283" spans="1:10" ht="12.75">
      <c r="A283" s="131"/>
      <c r="B283" s="132"/>
      <c r="C283" s="132"/>
      <c r="D283" s="132"/>
      <c r="E283" s="132"/>
      <c r="F283" s="160"/>
      <c r="G283" s="160"/>
      <c r="H283" s="160"/>
      <c r="I283" s="160"/>
      <c r="J283" s="133"/>
    </row>
    <row r="284" spans="1:10" ht="12.75">
      <c r="A284" s="131"/>
      <c r="B284" s="132"/>
      <c r="C284" s="132"/>
      <c r="D284" s="132"/>
      <c r="E284" s="132"/>
      <c r="F284" s="160"/>
      <c r="G284" s="160"/>
      <c r="H284" s="160"/>
      <c r="I284" s="160"/>
      <c r="J284" s="133"/>
    </row>
    <row r="285" spans="1:10" ht="12.75">
      <c r="A285" s="131"/>
      <c r="B285" s="132"/>
      <c r="C285" s="132"/>
      <c r="D285" s="132"/>
      <c r="E285" s="132"/>
      <c r="F285" s="160"/>
      <c r="G285" s="160"/>
      <c r="H285" s="160"/>
      <c r="I285" s="160"/>
      <c r="J285" s="133"/>
    </row>
    <row r="286" spans="1:10" ht="12.75">
      <c r="A286" s="131"/>
      <c r="B286" s="132"/>
      <c r="C286" s="132"/>
      <c r="D286" s="132"/>
      <c r="E286" s="132"/>
      <c r="F286" s="160"/>
      <c r="G286" s="160"/>
      <c r="H286" s="160"/>
      <c r="I286" s="160"/>
      <c r="J286" s="133"/>
    </row>
    <row r="287" spans="1:10" ht="12.75">
      <c r="A287" s="131"/>
      <c r="B287" s="132"/>
      <c r="C287" s="132"/>
      <c r="D287" s="132"/>
      <c r="E287" s="132"/>
      <c r="F287" s="160"/>
      <c r="G287" s="160"/>
      <c r="H287" s="160"/>
      <c r="I287" s="160"/>
      <c r="J287" s="133"/>
    </row>
    <row r="289" spans="1:10" ht="13.5" thickBot="1">
      <c r="A289" s="158" t="s">
        <v>205</v>
      </c>
      <c r="B289" s="158"/>
      <c r="C289" s="159" t="str">
        <f>VLOOKUP(H289,AccNames,2,0)</f>
        <v>Miscellaneous Expense</v>
      </c>
      <c r="D289" s="158"/>
      <c r="E289" s="158"/>
      <c r="F289" s="158"/>
      <c r="G289" s="158" t="s">
        <v>206</v>
      </c>
      <c r="H289" s="159">
        <f>'Assumptions (an)'!B27</f>
        <v>531</v>
      </c>
      <c r="I289" s="158"/>
      <c r="J289" s="158"/>
    </row>
    <row r="290" spans="1:10" ht="14.25" thickBot="1" thickTop="1">
      <c r="A290" s="258"/>
      <c r="B290" s="260" t="s">
        <v>17</v>
      </c>
      <c r="C290" s="261"/>
      <c r="D290" s="260" t="s">
        <v>207</v>
      </c>
      <c r="E290" s="260" t="s">
        <v>177</v>
      </c>
      <c r="F290" s="264" t="s">
        <v>38</v>
      </c>
      <c r="G290" s="264" t="s">
        <v>39</v>
      </c>
      <c r="H290" s="266" t="s">
        <v>208</v>
      </c>
      <c r="I290" s="267"/>
      <c r="J290" s="268"/>
    </row>
    <row r="291" spans="1:10" ht="13.5" thickTop="1">
      <c r="A291" s="259"/>
      <c r="B291" s="262"/>
      <c r="C291" s="263"/>
      <c r="D291" s="262"/>
      <c r="E291" s="262"/>
      <c r="F291" s="265"/>
      <c r="G291" s="265"/>
      <c r="H291" s="145" t="s">
        <v>38</v>
      </c>
      <c r="I291" s="145" t="s">
        <v>39</v>
      </c>
      <c r="J291" s="269"/>
    </row>
    <row r="292" spans="1:10" ht="12.75">
      <c r="A292" s="131"/>
      <c r="B292" s="132" t="str">
        <f>'Assumptions (an)'!$G$31</f>
        <v>2006</v>
      </c>
      <c r="C292" s="132"/>
      <c r="D292" s="132"/>
      <c r="E292" s="132"/>
      <c r="F292" s="160"/>
      <c r="G292" s="160"/>
      <c r="H292" s="160"/>
      <c r="I292" s="160"/>
      <c r="J292" s="133"/>
    </row>
    <row r="293" spans="1:10" ht="12.75">
      <c r="A293" s="131"/>
      <c r="B293" s="132" t="str">
        <f>'Assumptions (an)'!$G$32</f>
        <v>Jan.</v>
      </c>
      <c r="C293" s="132">
        <f>'Cash Pay. (an)'!C7</f>
        <v>21</v>
      </c>
      <c r="D293" s="132"/>
      <c r="E293" s="162" t="str">
        <f>'Cash Pay. (an)'!I1</f>
        <v>CP45</v>
      </c>
      <c r="F293" s="160">
        <f>'Cash Pay. (an)'!G7</f>
        <v>282</v>
      </c>
      <c r="G293" s="160"/>
      <c r="H293" s="160">
        <f>F293</f>
        <v>282</v>
      </c>
      <c r="I293" s="160"/>
      <c r="J293" s="133"/>
    </row>
    <row r="294" spans="1:10" ht="12.75">
      <c r="A294" s="131"/>
      <c r="B294" s="132"/>
      <c r="C294" s="132">
        <f>'Cash Pay. (an)'!C9</f>
        <v>31</v>
      </c>
      <c r="D294" s="132"/>
      <c r="E294" s="132" t="str">
        <f>'Cash Pay. (an)'!I1</f>
        <v>CP45</v>
      </c>
      <c r="F294" s="160">
        <f>'Cash Pay. (an)'!G9</f>
        <v>49</v>
      </c>
      <c r="G294" s="160"/>
      <c r="H294" s="160">
        <f>H293+F294</f>
        <v>331</v>
      </c>
      <c r="I294" s="160"/>
      <c r="J294" s="133"/>
    </row>
    <row r="295" spans="1:10" ht="12.75">
      <c r="A295" s="131"/>
      <c r="B295" s="132"/>
      <c r="C295" s="132"/>
      <c r="D295" s="132"/>
      <c r="E295" s="132"/>
      <c r="F295" s="160"/>
      <c r="G295" s="160"/>
      <c r="H295" s="160"/>
      <c r="I295" s="160"/>
      <c r="J295" s="133"/>
    </row>
    <row r="296" spans="1:10" ht="12.75">
      <c r="A296" s="131"/>
      <c r="B296" s="132"/>
      <c r="C296" s="132"/>
      <c r="D296" s="132"/>
      <c r="E296" s="132"/>
      <c r="F296" s="160"/>
      <c r="G296" s="160"/>
      <c r="H296" s="160"/>
      <c r="I296" s="160"/>
      <c r="J296" s="133"/>
    </row>
    <row r="297" spans="1:10" ht="12.75">
      <c r="A297" s="131"/>
      <c r="B297" s="132"/>
      <c r="C297" s="132"/>
      <c r="D297" s="132"/>
      <c r="E297" s="132"/>
      <c r="F297" s="160"/>
      <c r="G297" s="160"/>
      <c r="H297" s="160"/>
      <c r="I297" s="160"/>
      <c r="J297" s="133"/>
    </row>
    <row r="298" spans="1:10" ht="12.75">
      <c r="A298" s="131"/>
      <c r="B298" s="132"/>
      <c r="C298" s="132"/>
      <c r="D298" s="132"/>
      <c r="E298" s="132"/>
      <c r="F298" s="160"/>
      <c r="G298" s="160"/>
      <c r="H298" s="160"/>
      <c r="I298" s="160"/>
      <c r="J298" s="133"/>
    </row>
    <row r="299" spans="1:10" ht="12.75">
      <c r="A299" s="131"/>
      <c r="B299" s="132"/>
      <c r="C299" s="132"/>
      <c r="D299" s="132"/>
      <c r="E299" s="132"/>
      <c r="F299" s="160"/>
      <c r="G299" s="160"/>
      <c r="H299" s="160"/>
      <c r="I299" s="160"/>
      <c r="J299" s="133"/>
    </row>
  </sheetData>
  <mergeCells count="200">
    <mergeCell ref="A14:A15"/>
    <mergeCell ref="B14:C15"/>
    <mergeCell ref="D14:D15"/>
    <mergeCell ref="E14:E15"/>
    <mergeCell ref="F14:F15"/>
    <mergeCell ref="G14:G15"/>
    <mergeCell ref="H14:I14"/>
    <mergeCell ref="J14:J15"/>
    <mergeCell ref="A26:A27"/>
    <mergeCell ref="B26:C27"/>
    <mergeCell ref="D26:D27"/>
    <mergeCell ref="E26:E27"/>
    <mergeCell ref="F26:F27"/>
    <mergeCell ref="G26:G27"/>
    <mergeCell ref="H26:I26"/>
    <mergeCell ref="J26:J27"/>
    <mergeCell ref="A38:A39"/>
    <mergeCell ref="B38:C39"/>
    <mergeCell ref="D38:D39"/>
    <mergeCell ref="E38:E39"/>
    <mergeCell ref="F38:F39"/>
    <mergeCell ref="G38:G39"/>
    <mergeCell ref="H38:I38"/>
    <mergeCell ref="J38:J39"/>
    <mergeCell ref="A50:A51"/>
    <mergeCell ref="B50:C51"/>
    <mergeCell ref="D50:D51"/>
    <mergeCell ref="E50:E51"/>
    <mergeCell ref="F50:F51"/>
    <mergeCell ref="G50:G51"/>
    <mergeCell ref="H50:I50"/>
    <mergeCell ref="J50:J51"/>
    <mergeCell ref="A62:A63"/>
    <mergeCell ref="B62:C63"/>
    <mergeCell ref="D62:D63"/>
    <mergeCell ref="E62:E63"/>
    <mergeCell ref="F62:F63"/>
    <mergeCell ref="G62:G63"/>
    <mergeCell ref="H62:I62"/>
    <mergeCell ref="J62:J63"/>
    <mergeCell ref="A74:A75"/>
    <mergeCell ref="B74:C75"/>
    <mergeCell ref="D74:D75"/>
    <mergeCell ref="E74:E75"/>
    <mergeCell ref="F74:F75"/>
    <mergeCell ref="G74:G75"/>
    <mergeCell ref="H74:I74"/>
    <mergeCell ref="J74:J75"/>
    <mergeCell ref="A86:A87"/>
    <mergeCell ref="B86:C87"/>
    <mergeCell ref="D86:D87"/>
    <mergeCell ref="E86:E87"/>
    <mergeCell ref="F86:F87"/>
    <mergeCell ref="G86:G87"/>
    <mergeCell ref="H86:I86"/>
    <mergeCell ref="J86:J87"/>
    <mergeCell ref="A98:A99"/>
    <mergeCell ref="B98:C99"/>
    <mergeCell ref="D98:D99"/>
    <mergeCell ref="E98:E99"/>
    <mergeCell ref="F98:F99"/>
    <mergeCell ref="G98:G99"/>
    <mergeCell ref="H98:I98"/>
    <mergeCell ref="J98:J99"/>
    <mergeCell ref="A110:A111"/>
    <mergeCell ref="B110:C111"/>
    <mergeCell ref="D110:D111"/>
    <mergeCell ref="E110:E111"/>
    <mergeCell ref="F110:F111"/>
    <mergeCell ref="G110:G111"/>
    <mergeCell ref="H110:I110"/>
    <mergeCell ref="J110:J111"/>
    <mergeCell ref="A122:A123"/>
    <mergeCell ref="B122:C123"/>
    <mergeCell ref="D122:D123"/>
    <mergeCell ref="E122:E123"/>
    <mergeCell ref="F122:F123"/>
    <mergeCell ref="G122:G123"/>
    <mergeCell ref="H122:I122"/>
    <mergeCell ref="J122:J123"/>
    <mergeCell ref="A134:A135"/>
    <mergeCell ref="B134:C135"/>
    <mergeCell ref="D134:D135"/>
    <mergeCell ref="E134:E135"/>
    <mergeCell ref="F134:F135"/>
    <mergeCell ref="G134:G135"/>
    <mergeCell ref="H134:I134"/>
    <mergeCell ref="J134:J135"/>
    <mergeCell ref="A146:A147"/>
    <mergeCell ref="B146:C147"/>
    <mergeCell ref="D146:D147"/>
    <mergeCell ref="E146:E147"/>
    <mergeCell ref="F146:F147"/>
    <mergeCell ref="G146:G147"/>
    <mergeCell ref="H146:I146"/>
    <mergeCell ref="J146:J147"/>
    <mergeCell ref="A158:A159"/>
    <mergeCell ref="B158:C159"/>
    <mergeCell ref="D158:D159"/>
    <mergeCell ref="E158:E159"/>
    <mergeCell ref="F158:F159"/>
    <mergeCell ref="G158:G159"/>
    <mergeCell ref="H158:I158"/>
    <mergeCell ref="J158:J159"/>
    <mergeCell ref="A170:A171"/>
    <mergeCell ref="B170:C171"/>
    <mergeCell ref="D170:D171"/>
    <mergeCell ref="E170:E171"/>
    <mergeCell ref="F170:F171"/>
    <mergeCell ref="G170:G171"/>
    <mergeCell ref="H170:I170"/>
    <mergeCell ref="J170:J171"/>
    <mergeCell ref="A182:A183"/>
    <mergeCell ref="B182:C183"/>
    <mergeCell ref="D182:D183"/>
    <mergeCell ref="E182:E183"/>
    <mergeCell ref="F182:F183"/>
    <mergeCell ref="G182:G183"/>
    <mergeCell ref="H182:I182"/>
    <mergeCell ref="J182:J183"/>
    <mergeCell ref="A194:A195"/>
    <mergeCell ref="B194:C195"/>
    <mergeCell ref="D194:D195"/>
    <mergeCell ref="E194:E195"/>
    <mergeCell ref="F194:F195"/>
    <mergeCell ref="G194:G195"/>
    <mergeCell ref="H194:I194"/>
    <mergeCell ref="J194:J195"/>
    <mergeCell ref="A206:A207"/>
    <mergeCell ref="B206:C207"/>
    <mergeCell ref="D206:D207"/>
    <mergeCell ref="E206:E207"/>
    <mergeCell ref="F206:F207"/>
    <mergeCell ref="G206:G207"/>
    <mergeCell ref="H206:I206"/>
    <mergeCell ref="J206:J207"/>
    <mergeCell ref="A218:A219"/>
    <mergeCell ref="B218:C219"/>
    <mergeCell ref="D218:D219"/>
    <mergeCell ref="E218:E219"/>
    <mergeCell ref="F218:F219"/>
    <mergeCell ref="G218:G219"/>
    <mergeCell ref="H218:I218"/>
    <mergeCell ref="J218:J219"/>
    <mergeCell ref="A230:A231"/>
    <mergeCell ref="B230:C231"/>
    <mergeCell ref="D230:D231"/>
    <mergeCell ref="E230:E231"/>
    <mergeCell ref="F230:F231"/>
    <mergeCell ref="G230:G231"/>
    <mergeCell ref="H230:I230"/>
    <mergeCell ref="J230:J231"/>
    <mergeCell ref="A242:A243"/>
    <mergeCell ref="B242:C243"/>
    <mergeCell ref="D242:D243"/>
    <mergeCell ref="E242:E243"/>
    <mergeCell ref="F242:F243"/>
    <mergeCell ref="G242:G243"/>
    <mergeCell ref="H242:I242"/>
    <mergeCell ref="J242:J243"/>
    <mergeCell ref="A254:A255"/>
    <mergeCell ref="B254:C255"/>
    <mergeCell ref="D254:D255"/>
    <mergeCell ref="E254:E255"/>
    <mergeCell ref="F254:F255"/>
    <mergeCell ref="G254:G255"/>
    <mergeCell ref="H254:I254"/>
    <mergeCell ref="J254:J255"/>
    <mergeCell ref="A266:A267"/>
    <mergeCell ref="B266:C267"/>
    <mergeCell ref="D266:D267"/>
    <mergeCell ref="E266:E267"/>
    <mergeCell ref="F266:F267"/>
    <mergeCell ref="G266:G267"/>
    <mergeCell ref="H266:I266"/>
    <mergeCell ref="J266:J267"/>
    <mergeCell ref="A278:A279"/>
    <mergeCell ref="B278:C279"/>
    <mergeCell ref="D278:D279"/>
    <mergeCell ref="E278:E279"/>
    <mergeCell ref="F278:F279"/>
    <mergeCell ref="G278:G279"/>
    <mergeCell ref="H278:I278"/>
    <mergeCell ref="J278:J279"/>
    <mergeCell ref="A290:A291"/>
    <mergeCell ref="B290:C291"/>
    <mergeCell ref="D290:D291"/>
    <mergeCell ref="E290:E291"/>
    <mergeCell ref="F290:F291"/>
    <mergeCell ref="G290:G291"/>
    <mergeCell ref="H290:I290"/>
    <mergeCell ref="J290:J291"/>
    <mergeCell ref="G2:G3"/>
    <mergeCell ref="H2:I2"/>
    <mergeCell ref="A2:A3"/>
    <mergeCell ref="J2:J3"/>
    <mergeCell ref="B2:C3"/>
    <mergeCell ref="D2:D3"/>
    <mergeCell ref="E2:E3"/>
    <mergeCell ref="F2:F3"/>
  </mergeCells>
  <dataValidations count="3">
    <dataValidation type="list" allowBlank="1" showInputMessage="1" showErrorMessage="1" sqref="H1 H289 H277 H265 H253 H241 H229 H217 H205 H193 H181 H169 H157 H145 H133 H121 H109 H97 H85 H73 H61 H49 H37 H25 H13">
      <formula1>AccNo</formula1>
    </dataValidation>
    <dataValidation type="list" allowBlank="1" showInputMessage="1" showErrorMessage="1" sqref="D4:D11 D292:D299 D280:D287 D268:D275 D256:D263 D244:D251 D232:D239 D220:D227 D208:D215 D196:D203 D184:D191 D172:D179 D160:D167 D148:D155 D136:D143 D124:D131 D112:D119 D100:D107 D88:D95 D76:D83 D64:D71 D52:D59 D40:D47 D28:D35 D16:D23">
      <formula1>ItemNames</formula1>
    </dataValidation>
    <dataValidation type="list" allowBlank="1" showInputMessage="1" showErrorMessage="1" sqref="E4:E11 E292:E299 E280:E287 E268:E275 E256:E263 E244:E251 E232:E239 E220:E227 E208:E215 E196:E203 E184:E191 E172:E179 E160:E167 E148:E155 E136:E143 E124:E131 E112:E119 E100:E107 E88:E95 E76:E83 E64:E71 E52:E59 E40:E47 E28:E35 E16:E23">
      <formula1>JournalNo</formula1>
    </dataValidation>
  </dataValidations>
  <printOptions horizontalCentered="1"/>
  <pageMargins left="0.75" right="0.75" top="1" bottom="1" header="0.5" footer="0.5"/>
  <pageSetup fitToHeight="0" fitToWidth="1" horizontalDpi="600" verticalDpi="600" orientation="portrait" r:id="rId1"/>
  <headerFooter alignWithMargins="0">
    <oddHeader>&amp;L&amp;F&amp;C&amp;A&amp;R&amp;D</oddHeader>
    <oddFooter>&amp;CPage &amp;P of &amp;N</oddFooter>
  </headerFooter>
  <rowBreaks count="6" manualBreakCount="6">
    <brk id="47" max="255" man="1"/>
    <brk id="95" max="255" man="1"/>
    <brk id="143" max="255" man="1"/>
    <brk id="191" max="255" man="1"/>
    <brk id="239" max="255" man="1"/>
    <brk id="287" max="255" man="1"/>
  </rowBreaks>
</worksheet>
</file>

<file path=xl/worksheets/sheet51.xml><?xml version="1.0" encoding="utf-8"?>
<worksheet xmlns="http://schemas.openxmlformats.org/spreadsheetml/2006/main" xmlns:r="http://schemas.openxmlformats.org/officeDocument/2006/relationships">
  <sheetPr>
    <tabColor indexed="11"/>
    <pageSetUpPr fitToPage="1"/>
  </sheetPr>
  <dimension ref="A1:J77"/>
  <sheetViews>
    <sheetView showGridLines="0" workbookViewId="0" topLeftCell="A1">
      <selection activeCell="D29" sqref="D29:F30"/>
    </sheetView>
  </sheetViews>
  <sheetFormatPr defaultColWidth="9.140625" defaultRowHeight="12.75"/>
  <cols>
    <col min="1" max="1" width="2.7109375" style="0" customWidth="1"/>
    <col min="3" max="3" width="4.28125" style="0" customWidth="1"/>
    <col min="5" max="5" width="6.8515625" style="0" customWidth="1"/>
    <col min="6" max="6" width="10.421875" style="0" bestFit="1" customWidth="1"/>
    <col min="7" max="7" width="11.57421875" style="0" bestFit="1" customWidth="1"/>
    <col min="8" max="8" width="11.421875" style="0" bestFit="1" customWidth="1"/>
    <col min="9" max="9" width="10.421875" style="0" bestFit="1" customWidth="1"/>
    <col min="10" max="10" width="2.7109375" style="0" customWidth="1"/>
  </cols>
  <sheetData>
    <row r="1" spans="2:3" ht="12.75">
      <c r="B1" s="164" t="s">
        <v>210</v>
      </c>
      <c r="C1" s="164" t="str">
        <f>'Assumptions (an)'!H54</f>
        <v>Bryan Supply</v>
      </c>
    </row>
    <row r="2" spans="1:10" ht="13.5" thickBot="1">
      <c r="A2" s="158"/>
      <c r="B2" s="159" t="s">
        <v>211</v>
      </c>
      <c r="C2" s="159"/>
      <c r="D2" s="158"/>
      <c r="E2" s="158"/>
      <c r="F2" s="158"/>
      <c r="G2" s="158"/>
      <c r="H2" s="159"/>
      <c r="I2" s="158"/>
      <c r="J2" s="158"/>
    </row>
    <row r="3" spans="1:10" ht="14.25" thickBot="1" thickTop="1">
      <c r="A3" s="258"/>
      <c r="B3" s="260" t="s">
        <v>17</v>
      </c>
      <c r="C3" s="261"/>
      <c r="D3" s="260" t="s">
        <v>207</v>
      </c>
      <c r="E3" s="260" t="s">
        <v>177</v>
      </c>
      <c r="F3" s="264" t="s">
        <v>38</v>
      </c>
      <c r="G3" s="264" t="s">
        <v>39</v>
      </c>
      <c r="H3" s="266" t="s">
        <v>208</v>
      </c>
      <c r="I3" s="267"/>
      <c r="J3" s="268"/>
    </row>
    <row r="4" spans="1:10" ht="13.5" thickTop="1">
      <c r="A4" s="259"/>
      <c r="B4" s="262"/>
      <c r="C4" s="263"/>
      <c r="D4" s="262"/>
      <c r="E4" s="262"/>
      <c r="F4" s="265"/>
      <c r="G4" s="265"/>
      <c r="H4" s="145" t="s">
        <v>38</v>
      </c>
      <c r="I4" s="145" t="s">
        <v>39</v>
      </c>
      <c r="J4" s="269"/>
    </row>
    <row r="5" spans="1:10" ht="12.75">
      <c r="A5" s="131"/>
      <c r="B5" s="132" t="str">
        <f>'Assumptions (an)'!$G$31</f>
        <v>2006</v>
      </c>
      <c r="C5" s="132"/>
      <c r="D5" s="132"/>
      <c r="E5" s="132"/>
      <c r="F5" s="132"/>
      <c r="G5" s="132"/>
      <c r="H5" s="132"/>
      <c r="I5" s="132"/>
      <c r="J5" s="133"/>
    </row>
    <row r="6" spans="1:10" ht="12.75">
      <c r="A6" s="131"/>
      <c r="B6" s="132" t="str">
        <f>'Assumptions (an)'!$G$32</f>
        <v>Jan.</v>
      </c>
      <c r="C6" s="132">
        <f>'Sales (an)'!C7</f>
        <v>29</v>
      </c>
      <c r="D6" s="132"/>
      <c r="E6" s="162" t="str">
        <f>'Sales (an)'!G1</f>
        <v>S73</v>
      </c>
      <c r="F6" s="160">
        <f>'Sales (an)'!G7</f>
        <v>1940</v>
      </c>
      <c r="G6" s="132"/>
      <c r="H6" s="160">
        <f>F6</f>
        <v>1940</v>
      </c>
      <c r="I6" s="160"/>
      <c r="J6" s="133"/>
    </row>
    <row r="7" spans="1:10" ht="12.75">
      <c r="A7" s="131"/>
      <c r="B7" s="132"/>
      <c r="C7" s="132"/>
      <c r="D7" s="132"/>
      <c r="E7" s="132"/>
      <c r="F7" s="132"/>
      <c r="G7" s="132"/>
      <c r="H7" s="160"/>
      <c r="I7" s="160"/>
      <c r="J7" s="133"/>
    </row>
    <row r="8" spans="1:10" ht="12.75">
      <c r="A8" s="131"/>
      <c r="B8" s="132"/>
      <c r="C8" s="132"/>
      <c r="D8" s="132"/>
      <c r="E8" s="132"/>
      <c r="F8" s="132"/>
      <c r="G8" s="132"/>
      <c r="H8" s="160"/>
      <c r="I8" s="160"/>
      <c r="J8" s="133"/>
    </row>
    <row r="9" spans="1:10" ht="12.75">
      <c r="A9" s="131"/>
      <c r="B9" s="132"/>
      <c r="C9" s="132"/>
      <c r="D9" s="132"/>
      <c r="E9" s="132"/>
      <c r="F9" s="132"/>
      <c r="G9" s="132"/>
      <c r="H9" s="160"/>
      <c r="I9" s="160"/>
      <c r="J9" s="133"/>
    </row>
    <row r="10" spans="1:10" ht="12.75">
      <c r="A10" s="131"/>
      <c r="B10" s="132"/>
      <c r="C10" s="132"/>
      <c r="D10" s="132"/>
      <c r="E10" s="132"/>
      <c r="F10" s="132"/>
      <c r="G10" s="132"/>
      <c r="H10" s="160"/>
      <c r="I10" s="160"/>
      <c r="J10" s="133"/>
    </row>
    <row r="11" spans="1:10" ht="12.75">
      <c r="A11" s="131"/>
      <c r="B11" s="132"/>
      <c r="C11" s="132"/>
      <c r="D11" s="132"/>
      <c r="E11" s="132"/>
      <c r="F11" s="132"/>
      <c r="G11" s="132"/>
      <c r="H11" s="160"/>
      <c r="I11" s="160"/>
      <c r="J11" s="133"/>
    </row>
    <row r="12" spans="1:10" ht="12.75">
      <c r="A12" s="131"/>
      <c r="B12" s="132"/>
      <c r="C12" s="132"/>
      <c r="D12" s="132"/>
      <c r="E12" s="132"/>
      <c r="F12" s="132"/>
      <c r="G12" s="132"/>
      <c r="H12" s="160"/>
      <c r="I12" s="160"/>
      <c r="J12" s="133"/>
    </row>
    <row r="14" spans="2:3" ht="12.75">
      <c r="B14" s="164" t="s">
        <v>210</v>
      </c>
      <c r="C14" s="164" t="str">
        <f>'Assumptions (an)'!H55</f>
        <v>English and Cole</v>
      </c>
    </row>
    <row r="15" spans="1:10" ht="13.5" thickBot="1">
      <c r="A15" s="158"/>
      <c r="B15" s="159" t="s">
        <v>211</v>
      </c>
      <c r="C15" s="159"/>
      <c r="D15" s="158"/>
      <c r="E15" s="158"/>
      <c r="F15" s="158"/>
      <c r="G15" s="158"/>
      <c r="H15" s="159"/>
      <c r="I15" s="158"/>
      <c r="J15" s="158"/>
    </row>
    <row r="16" spans="1:10" ht="14.25" thickBot="1" thickTop="1">
      <c r="A16" s="258"/>
      <c r="B16" s="260" t="s">
        <v>17</v>
      </c>
      <c r="C16" s="261"/>
      <c r="D16" s="260" t="s">
        <v>207</v>
      </c>
      <c r="E16" s="260" t="s">
        <v>177</v>
      </c>
      <c r="F16" s="264" t="s">
        <v>38</v>
      </c>
      <c r="G16" s="264" t="s">
        <v>39</v>
      </c>
      <c r="H16" s="266" t="s">
        <v>208</v>
      </c>
      <c r="I16" s="267"/>
      <c r="J16" s="268"/>
    </row>
    <row r="17" spans="1:10" ht="13.5" thickTop="1">
      <c r="A17" s="259"/>
      <c r="B17" s="262"/>
      <c r="C17" s="263"/>
      <c r="D17" s="262"/>
      <c r="E17" s="262"/>
      <c r="F17" s="265"/>
      <c r="G17" s="265"/>
      <c r="H17" s="145" t="s">
        <v>38</v>
      </c>
      <c r="I17" s="145" t="s">
        <v>39</v>
      </c>
      <c r="J17" s="269"/>
    </row>
    <row r="18" spans="1:10" ht="12.75">
      <c r="A18" s="131"/>
      <c r="B18" s="132" t="str">
        <f>'Assumptions (an)'!$G$31</f>
        <v>2006</v>
      </c>
      <c r="C18" s="132"/>
      <c r="D18" s="132"/>
      <c r="E18" s="132"/>
      <c r="F18" s="132"/>
      <c r="G18" s="132"/>
      <c r="H18" s="132"/>
      <c r="I18" s="132"/>
      <c r="J18" s="133"/>
    </row>
    <row r="19" spans="1:10" ht="12.75">
      <c r="A19" s="131"/>
      <c r="B19" s="132" t="str">
        <f>'Assumptions (an)'!$G$32</f>
        <v>Jan.</v>
      </c>
      <c r="C19" s="132">
        <f>'Sales (an)'!C5</f>
        <v>7</v>
      </c>
      <c r="D19" s="132"/>
      <c r="E19" s="162" t="str">
        <f>'Sales (an)'!G1</f>
        <v>S73</v>
      </c>
      <c r="F19" s="160">
        <f>'Sales (an)'!G5</f>
        <v>890</v>
      </c>
      <c r="G19" s="132"/>
      <c r="H19" s="160">
        <f>F19</f>
        <v>890</v>
      </c>
      <c r="I19" s="160"/>
      <c r="J19" s="133"/>
    </row>
    <row r="20" spans="1:10" ht="12.75">
      <c r="A20" s="131"/>
      <c r="B20" s="132"/>
      <c r="C20" s="132"/>
      <c r="D20" s="132"/>
      <c r="E20" s="132"/>
      <c r="F20" s="132"/>
      <c r="G20" s="132"/>
      <c r="H20" s="160"/>
      <c r="I20" s="160"/>
      <c r="J20" s="133"/>
    </row>
    <row r="21" spans="1:10" ht="12.75">
      <c r="A21" s="131"/>
      <c r="B21" s="132"/>
      <c r="C21" s="132"/>
      <c r="D21" s="132"/>
      <c r="E21" s="132"/>
      <c r="F21" s="132"/>
      <c r="G21" s="132"/>
      <c r="H21" s="160"/>
      <c r="I21" s="160"/>
      <c r="J21" s="133"/>
    </row>
    <row r="22" spans="1:10" ht="12.75">
      <c r="A22" s="131"/>
      <c r="B22" s="132"/>
      <c r="C22" s="132"/>
      <c r="D22" s="132"/>
      <c r="E22" s="132"/>
      <c r="F22" s="132"/>
      <c r="G22" s="132"/>
      <c r="H22" s="160"/>
      <c r="I22" s="160"/>
      <c r="J22" s="133"/>
    </row>
    <row r="23" spans="1:10" ht="12.75">
      <c r="A23" s="131"/>
      <c r="B23" s="132"/>
      <c r="C23" s="132"/>
      <c r="D23" s="132"/>
      <c r="E23" s="132"/>
      <c r="F23" s="132"/>
      <c r="G23" s="132"/>
      <c r="H23" s="160"/>
      <c r="I23" s="160"/>
      <c r="J23" s="133"/>
    </row>
    <row r="24" spans="1:10" ht="12.75">
      <c r="A24" s="131"/>
      <c r="B24" s="132"/>
      <c r="C24" s="132"/>
      <c r="D24" s="132"/>
      <c r="E24" s="132"/>
      <c r="F24" s="132"/>
      <c r="G24" s="132"/>
      <c r="H24" s="160"/>
      <c r="I24" s="160"/>
      <c r="J24" s="133"/>
    </row>
    <row r="25" spans="1:10" ht="12.75">
      <c r="A25" s="131"/>
      <c r="B25" s="132"/>
      <c r="C25" s="132"/>
      <c r="D25" s="132"/>
      <c r="E25" s="132"/>
      <c r="F25" s="132"/>
      <c r="G25" s="132"/>
      <c r="H25" s="160"/>
      <c r="I25" s="160"/>
      <c r="J25" s="133"/>
    </row>
    <row r="27" spans="2:3" ht="12.75">
      <c r="B27" s="164" t="s">
        <v>210</v>
      </c>
      <c r="C27" s="164" t="str">
        <f>'Assumptions (an)'!H56</f>
        <v>L. Parker</v>
      </c>
    </row>
    <row r="28" spans="1:10" ht="13.5" thickBot="1">
      <c r="A28" s="158"/>
      <c r="B28" s="159" t="s">
        <v>211</v>
      </c>
      <c r="C28" s="159"/>
      <c r="D28" s="158"/>
      <c r="E28" s="158"/>
      <c r="F28" s="158"/>
      <c r="G28" s="158"/>
      <c r="H28" s="159"/>
      <c r="I28" s="158"/>
      <c r="J28" s="158"/>
    </row>
    <row r="29" spans="1:10" ht="14.25" thickBot="1" thickTop="1">
      <c r="A29" s="258"/>
      <c r="B29" s="260" t="s">
        <v>17</v>
      </c>
      <c r="C29" s="261"/>
      <c r="D29" s="260" t="s">
        <v>207</v>
      </c>
      <c r="E29" s="260" t="s">
        <v>177</v>
      </c>
      <c r="F29" s="264" t="s">
        <v>38</v>
      </c>
      <c r="G29" s="264" t="s">
        <v>39</v>
      </c>
      <c r="H29" s="266" t="s">
        <v>208</v>
      </c>
      <c r="I29" s="267"/>
      <c r="J29" s="268"/>
    </row>
    <row r="30" spans="1:10" ht="13.5" thickTop="1">
      <c r="A30" s="259"/>
      <c r="B30" s="262"/>
      <c r="C30" s="263"/>
      <c r="D30" s="262"/>
      <c r="E30" s="262"/>
      <c r="F30" s="265"/>
      <c r="G30" s="265"/>
      <c r="H30" s="145" t="s">
        <v>38</v>
      </c>
      <c r="I30" s="145" t="s">
        <v>39</v>
      </c>
      <c r="J30" s="269"/>
    </row>
    <row r="31" spans="1:10" ht="12.75">
      <c r="A31" s="131"/>
      <c r="B31" s="132" t="str">
        <f>'Assumptions (an)'!$G$31</f>
        <v>2006</v>
      </c>
      <c r="C31" s="132"/>
      <c r="D31" s="132"/>
      <c r="E31" s="132"/>
      <c r="F31" s="132"/>
      <c r="G31" s="132"/>
      <c r="H31" s="132"/>
      <c r="I31" s="132"/>
      <c r="J31" s="133"/>
    </row>
    <row r="32" spans="1:10" ht="12.75">
      <c r="A32" s="131"/>
      <c r="B32" s="132" t="str">
        <f>'Assumptions (an)'!$G$32</f>
        <v>Jan.</v>
      </c>
      <c r="C32" s="132">
        <f>'Sales (an)'!C4</f>
        <v>4</v>
      </c>
      <c r="D32" s="132"/>
      <c r="E32" s="162" t="str">
        <f>'Sales (an)'!G1</f>
        <v>S73</v>
      </c>
      <c r="F32" s="160">
        <f>'Sales (an)'!G4</f>
        <v>750</v>
      </c>
      <c r="G32" s="132"/>
      <c r="H32" s="160">
        <f>F32</f>
        <v>750</v>
      </c>
      <c r="I32" s="160"/>
      <c r="J32" s="133"/>
    </row>
    <row r="33" spans="1:10" ht="12.75">
      <c r="A33" s="131"/>
      <c r="B33" s="132"/>
      <c r="C33" s="132">
        <f>'General (an)'!C8</f>
        <v>9</v>
      </c>
      <c r="D33" s="132"/>
      <c r="E33" s="132" t="str">
        <f>'General (an)'!H1</f>
        <v>GL100</v>
      </c>
      <c r="F33" s="132"/>
      <c r="G33" s="168">
        <f>'General (an)'!H9</f>
        <v>50</v>
      </c>
      <c r="H33" s="160">
        <f>H32-G33</f>
        <v>700</v>
      </c>
      <c r="I33" s="160"/>
      <c r="J33" s="133"/>
    </row>
    <row r="34" spans="1:10" ht="12.75">
      <c r="A34" s="131"/>
      <c r="B34" s="132"/>
      <c r="C34" s="132"/>
      <c r="D34" s="132"/>
      <c r="E34" s="132"/>
      <c r="F34" s="132"/>
      <c r="G34" s="132"/>
      <c r="H34" s="160"/>
      <c r="I34" s="160"/>
      <c r="J34" s="133"/>
    </row>
    <row r="35" spans="1:10" ht="12.75">
      <c r="A35" s="131"/>
      <c r="B35" s="132"/>
      <c r="C35" s="132"/>
      <c r="D35" s="132"/>
      <c r="E35" s="132"/>
      <c r="F35" s="132"/>
      <c r="G35" s="132"/>
      <c r="H35" s="160"/>
      <c r="I35" s="160"/>
      <c r="J35" s="133"/>
    </row>
    <row r="36" spans="1:10" ht="12.75">
      <c r="A36" s="131"/>
      <c r="B36" s="132"/>
      <c r="C36" s="132"/>
      <c r="D36" s="132"/>
      <c r="E36" s="132"/>
      <c r="F36" s="132"/>
      <c r="G36" s="132"/>
      <c r="H36" s="160"/>
      <c r="I36" s="160"/>
      <c r="J36" s="133"/>
    </row>
    <row r="37" spans="1:10" ht="12.75">
      <c r="A37" s="131"/>
      <c r="B37" s="132"/>
      <c r="C37" s="132"/>
      <c r="D37" s="132"/>
      <c r="E37" s="132"/>
      <c r="F37" s="132"/>
      <c r="G37" s="132"/>
      <c r="H37" s="160"/>
      <c r="I37" s="160"/>
      <c r="J37" s="133"/>
    </row>
    <row r="38" spans="1:10" ht="12.75">
      <c r="A38" s="131"/>
      <c r="B38" s="132"/>
      <c r="C38" s="132"/>
      <c r="D38" s="132"/>
      <c r="E38" s="132"/>
      <c r="F38" s="132"/>
      <c r="G38" s="132"/>
      <c r="H38" s="160"/>
      <c r="I38" s="160"/>
      <c r="J38" s="133"/>
    </row>
    <row r="40" spans="2:3" ht="12.75">
      <c r="B40" s="164" t="s">
        <v>210</v>
      </c>
      <c r="C40" s="164" t="str">
        <f>'Assumptions (an)'!H57</f>
        <v>Peterson, Inc.</v>
      </c>
    </row>
    <row r="41" spans="1:10" ht="13.5" thickBot="1">
      <c r="A41" s="158"/>
      <c r="B41" s="159" t="s">
        <v>211</v>
      </c>
      <c r="C41" s="159"/>
      <c r="D41" s="158"/>
      <c r="E41" s="158"/>
      <c r="F41" s="158"/>
      <c r="G41" s="158"/>
      <c r="H41" s="159"/>
      <c r="I41" s="158"/>
      <c r="J41" s="158"/>
    </row>
    <row r="42" spans="1:10" ht="14.25" thickBot="1" thickTop="1">
      <c r="A42" s="258"/>
      <c r="B42" s="260" t="s">
        <v>17</v>
      </c>
      <c r="C42" s="261"/>
      <c r="D42" s="260" t="s">
        <v>207</v>
      </c>
      <c r="E42" s="260" t="s">
        <v>177</v>
      </c>
      <c r="F42" s="264" t="s">
        <v>38</v>
      </c>
      <c r="G42" s="264" t="s">
        <v>39</v>
      </c>
      <c r="H42" s="266" t="s">
        <v>208</v>
      </c>
      <c r="I42" s="267"/>
      <c r="J42" s="268"/>
    </row>
    <row r="43" spans="1:10" ht="13.5" thickTop="1">
      <c r="A43" s="259"/>
      <c r="B43" s="262"/>
      <c r="C43" s="263"/>
      <c r="D43" s="262"/>
      <c r="E43" s="262"/>
      <c r="F43" s="265"/>
      <c r="G43" s="265"/>
      <c r="H43" s="145" t="s">
        <v>38</v>
      </c>
      <c r="I43" s="145" t="s">
        <v>39</v>
      </c>
      <c r="J43" s="269"/>
    </row>
    <row r="44" spans="1:10" ht="12.75">
      <c r="A44" s="131"/>
      <c r="B44" s="132" t="str">
        <f>'Assumptions (an)'!$G$31</f>
        <v>2006</v>
      </c>
      <c r="C44" s="132"/>
      <c r="D44" s="132"/>
      <c r="E44" s="132"/>
      <c r="F44" s="132"/>
      <c r="G44" s="132"/>
      <c r="H44" s="132"/>
      <c r="I44" s="132"/>
      <c r="J44" s="133"/>
    </row>
    <row r="45" spans="1:10" ht="12.75">
      <c r="A45" s="131"/>
      <c r="B45" s="132" t="str">
        <f>'Assumptions (an)'!$G$32</f>
        <v>Jan.</v>
      </c>
      <c r="C45" s="180" t="str">
        <f>'Assumptions (an)'!$G$33</f>
        <v>1</v>
      </c>
      <c r="D45" s="132" t="s">
        <v>152</v>
      </c>
      <c r="E45" s="161" t="s">
        <v>209</v>
      </c>
      <c r="F45" s="132"/>
      <c r="G45" s="132"/>
      <c r="H45" s="160">
        <f>'Assumptions (an)'!G57</f>
        <v>650</v>
      </c>
      <c r="I45" s="160"/>
      <c r="J45" s="133"/>
    </row>
    <row r="46" spans="1:10" ht="12.75">
      <c r="A46" s="131"/>
      <c r="B46" s="132"/>
      <c r="C46" s="132">
        <f>'Cash Rec. (an)'!C6</f>
        <v>6</v>
      </c>
      <c r="D46" s="132"/>
      <c r="E46" s="132" t="str">
        <f>'Cash Rec. (an)'!I1</f>
        <v>CR38</v>
      </c>
      <c r="F46" s="132"/>
      <c r="G46" s="168">
        <f>'Cash Rec. (an)'!G6</f>
        <v>650</v>
      </c>
      <c r="H46" s="160">
        <f>H45-G46</f>
        <v>0</v>
      </c>
      <c r="I46" s="160"/>
      <c r="J46" s="133"/>
    </row>
    <row r="47" spans="1:10" ht="12.75">
      <c r="A47" s="131"/>
      <c r="B47" s="132"/>
      <c r="C47" s="132"/>
      <c r="D47" s="132"/>
      <c r="E47" s="132"/>
      <c r="F47" s="132"/>
      <c r="G47" s="132"/>
      <c r="H47" s="160"/>
      <c r="I47" s="160"/>
      <c r="J47" s="133"/>
    </row>
    <row r="48" spans="1:10" ht="12.75">
      <c r="A48" s="131"/>
      <c r="B48" s="132"/>
      <c r="C48" s="132"/>
      <c r="D48" s="132"/>
      <c r="E48" s="132"/>
      <c r="F48" s="132"/>
      <c r="G48" s="132"/>
      <c r="H48" s="160"/>
      <c r="I48" s="160"/>
      <c r="J48" s="133"/>
    </row>
    <row r="49" spans="1:10" ht="12.75">
      <c r="A49" s="131"/>
      <c r="B49" s="132"/>
      <c r="C49" s="132"/>
      <c r="D49" s="132"/>
      <c r="E49" s="132"/>
      <c r="F49" s="132"/>
      <c r="G49" s="132"/>
      <c r="H49" s="160"/>
      <c r="I49" s="160"/>
      <c r="J49" s="133"/>
    </row>
    <row r="50" spans="1:10" ht="12.75">
      <c r="A50" s="131"/>
      <c r="B50" s="132"/>
      <c r="C50" s="132"/>
      <c r="D50" s="132"/>
      <c r="E50" s="132"/>
      <c r="F50" s="132"/>
      <c r="G50" s="132"/>
      <c r="H50" s="160"/>
      <c r="I50" s="160"/>
      <c r="J50" s="133"/>
    </row>
    <row r="51" spans="1:10" ht="12.75">
      <c r="A51" s="131"/>
      <c r="B51" s="132"/>
      <c r="C51" s="132"/>
      <c r="D51" s="132"/>
      <c r="E51" s="132"/>
      <c r="F51" s="132"/>
      <c r="G51" s="132"/>
      <c r="H51" s="160"/>
      <c r="I51" s="160"/>
      <c r="J51" s="133"/>
    </row>
    <row r="53" spans="2:3" ht="12.75">
      <c r="B53" s="164" t="s">
        <v>210</v>
      </c>
      <c r="C53" s="164" t="str">
        <f>'Assumptions (an)'!H58</f>
        <v>Vessey Appliance</v>
      </c>
    </row>
    <row r="54" spans="1:10" ht="13.5" thickBot="1">
      <c r="A54" s="158"/>
      <c r="B54" s="159" t="s">
        <v>211</v>
      </c>
      <c r="C54" s="159"/>
      <c r="D54" s="158"/>
      <c r="E54" s="158"/>
      <c r="F54" s="158"/>
      <c r="G54" s="158"/>
      <c r="H54" s="159"/>
      <c r="I54" s="158"/>
      <c r="J54" s="158"/>
    </row>
    <row r="55" spans="1:10" ht="14.25" thickBot="1" thickTop="1">
      <c r="A55" s="258"/>
      <c r="B55" s="260" t="s">
        <v>17</v>
      </c>
      <c r="C55" s="261"/>
      <c r="D55" s="260" t="s">
        <v>207</v>
      </c>
      <c r="E55" s="260" t="s">
        <v>177</v>
      </c>
      <c r="F55" s="264" t="s">
        <v>38</v>
      </c>
      <c r="G55" s="264" t="s">
        <v>39</v>
      </c>
      <c r="H55" s="266" t="s">
        <v>208</v>
      </c>
      <c r="I55" s="267"/>
      <c r="J55" s="268"/>
    </row>
    <row r="56" spans="1:10" ht="13.5" thickTop="1">
      <c r="A56" s="259"/>
      <c r="B56" s="262"/>
      <c r="C56" s="263"/>
      <c r="D56" s="262"/>
      <c r="E56" s="262"/>
      <c r="F56" s="265"/>
      <c r="G56" s="265"/>
      <c r="H56" s="145" t="s">
        <v>38</v>
      </c>
      <c r="I56" s="145" t="s">
        <v>39</v>
      </c>
      <c r="J56" s="269"/>
    </row>
    <row r="57" spans="1:10" ht="12.75">
      <c r="A57" s="131"/>
      <c r="B57" s="132" t="str">
        <f>'Assumptions (an)'!$G$31</f>
        <v>2006</v>
      </c>
      <c r="C57" s="132"/>
      <c r="D57" s="132"/>
      <c r="E57" s="132"/>
      <c r="F57" s="132"/>
      <c r="G57" s="132"/>
      <c r="H57" s="132"/>
      <c r="I57" s="132"/>
      <c r="J57" s="133"/>
    </row>
    <row r="58" spans="1:10" ht="12.75">
      <c r="A58" s="131"/>
      <c r="B58" s="132" t="str">
        <f>'Assumptions (an)'!$G$32</f>
        <v>Jan.</v>
      </c>
      <c r="C58" s="180" t="str">
        <f>'Assumptions (an)'!$G$33</f>
        <v>1</v>
      </c>
      <c r="D58" s="132" t="s">
        <v>152</v>
      </c>
      <c r="E58" s="161" t="s">
        <v>209</v>
      </c>
      <c r="F58" s="132"/>
      <c r="G58" s="132"/>
      <c r="H58" s="160">
        <f>'Assumptions (an)'!G58</f>
        <v>1000</v>
      </c>
      <c r="I58" s="160"/>
      <c r="J58" s="133"/>
    </row>
    <row r="59" spans="1:10" ht="12.75">
      <c r="A59" s="131"/>
      <c r="B59" s="132"/>
      <c r="C59" s="132">
        <f>'Cash Rec. (an)'!C5</f>
        <v>4</v>
      </c>
      <c r="D59" s="132"/>
      <c r="E59" s="132" t="str">
        <f>'Cash Rec. (an)'!I1</f>
        <v>CR38</v>
      </c>
      <c r="F59" s="132"/>
      <c r="G59" s="168">
        <f>'Cash Rec. (an)'!G5</f>
        <v>1000</v>
      </c>
      <c r="H59" s="160">
        <f>H58-G59</f>
        <v>0</v>
      </c>
      <c r="I59" s="160"/>
      <c r="J59" s="133"/>
    </row>
    <row r="60" spans="1:10" ht="12.75">
      <c r="A60" s="131"/>
      <c r="B60" s="132"/>
      <c r="C60" s="132">
        <f>'Sales (an)'!C6</f>
        <v>14</v>
      </c>
      <c r="D60" s="132"/>
      <c r="E60" s="132" t="str">
        <f>'Sales (an)'!G1</f>
        <v>S73</v>
      </c>
      <c r="F60" s="160">
        <f>'Sales (an)'!G6</f>
        <v>1950</v>
      </c>
      <c r="G60" s="132"/>
      <c r="H60" s="160">
        <f>H59+F60</f>
        <v>1950</v>
      </c>
      <c r="I60" s="160"/>
      <c r="J60" s="133"/>
    </row>
    <row r="61" spans="1:10" ht="12.75">
      <c r="A61" s="131"/>
      <c r="B61" s="132"/>
      <c r="C61" s="132"/>
      <c r="D61" s="132"/>
      <c r="E61" s="132"/>
      <c r="F61" s="132"/>
      <c r="G61" s="132"/>
      <c r="H61" s="160"/>
      <c r="I61" s="160"/>
      <c r="J61" s="133"/>
    </row>
    <row r="62" spans="1:10" ht="12.75">
      <c r="A62" s="131"/>
      <c r="B62" s="132"/>
      <c r="C62" s="132"/>
      <c r="D62" s="132"/>
      <c r="E62" s="132"/>
      <c r="F62" s="132"/>
      <c r="G62" s="132"/>
      <c r="H62" s="160"/>
      <c r="I62" s="160"/>
      <c r="J62" s="133"/>
    </row>
    <row r="63" spans="1:10" ht="12.75">
      <c r="A63" s="131"/>
      <c r="B63" s="132"/>
      <c r="C63" s="132"/>
      <c r="D63" s="132"/>
      <c r="E63" s="132"/>
      <c r="F63" s="132"/>
      <c r="G63" s="132"/>
      <c r="H63" s="160"/>
      <c r="I63" s="160"/>
      <c r="J63" s="133"/>
    </row>
    <row r="64" spans="1:10" ht="12.75">
      <c r="A64" s="131"/>
      <c r="B64" s="132"/>
      <c r="C64" s="132"/>
      <c r="D64" s="132"/>
      <c r="E64" s="132"/>
      <c r="F64" s="132"/>
      <c r="G64" s="132"/>
      <c r="H64" s="160"/>
      <c r="I64" s="160"/>
      <c r="J64" s="133"/>
    </row>
    <row r="66" spans="2:3" ht="12.75">
      <c r="B66" s="164" t="s">
        <v>210</v>
      </c>
      <c r="C66" s="164"/>
    </row>
    <row r="67" spans="1:10" ht="13.5" thickBot="1">
      <c r="A67" s="158"/>
      <c r="B67" s="159" t="s">
        <v>211</v>
      </c>
      <c r="C67" s="159"/>
      <c r="D67" s="158"/>
      <c r="E67" s="158"/>
      <c r="F67" s="158"/>
      <c r="G67" s="158"/>
      <c r="H67" s="159"/>
      <c r="I67" s="158"/>
      <c r="J67" s="158"/>
    </row>
    <row r="68" spans="1:10" ht="14.25" thickBot="1" thickTop="1">
      <c r="A68" s="258"/>
      <c r="B68" s="260" t="s">
        <v>17</v>
      </c>
      <c r="C68" s="261"/>
      <c r="D68" s="260" t="s">
        <v>207</v>
      </c>
      <c r="E68" s="260" t="s">
        <v>177</v>
      </c>
      <c r="F68" s="264" t="s">
        <v>38</v>
      </c>
      <c r="G68" s="264" t="s">
        <v>39</v>
      </c>
      <c r="H68" s="266" t="s">
        <v>208</v>
      </c>
      <c r="I68" s="267"/>
      <c r="J68" s="268"/>
    </row>
    <row r="69" spans="1:10" ht="13.5" thickTop="1">
      <c r="A69" s="259"/>
      <c r="B69" s="262"/>
      <c r="C69" s="263"/>
      <c r="D69" s="262"/>
      <c r="E69" s="262"/>
      <c r="F69" s="265"/>
      <c r="G69" s="265"/>
      <c r="H69" s="145" t="s">
        <v>38</v>
      </c>
      <c r="I69" s="145" t="s">
        <v>39</v>
      </c>
      <c r="J69" s="269"/>
    </row>
    <row r="70" spans="1:10" ht="12.75">
      <c r="A70" s="131"/>
      <c r="B70" s="132" t="str">
        <f>'Assumptions (an)'!$G$31</f>
        <v>2006</v>
      </c>
      <c r="C70" s="132"/>
      <c r="D70" s="132"/>
      <c r="E70" s="132"/>
      <c r="F70" s="132"/>
      <c r="G70" s="132"/>
      <c r="H70" s="132"/>
      <c r="I70" s="132"/>
      <c r="J70" s="133"/>
    </row>
    <row r="71" spans="1:10" ht="12.75">
      <c r="A71" s="131"/>
      <c r="B71" s="132" t="str">
        <f>'Assumptions (an)'!$G$32</f>
        <v>Jan.</v>
      </c>
      <c r="C71" s="132"/>
      <c r="D71" s="132"/>
      <c r="E71" s="162"/>
      <c r="F71" s="132"/>
      <c r="G71" s="132"/>
      <c r="H71" s="160"/>
      <c r="I71" s="160"/>
      <c r="J71" s="133"/>
    </row>
    <row r="72" spans="1:10" ht="12.75">
      <c r="A72" s="131"/>
      <c r="B72" s="132"/>
      <c r="C72" s="132"/>
      <c r="D72" s="132"/>
      <c r="E72" s="132"/>
      <c r="F72" s="132"/>
      <c r="G72" s="132"/>
      <c r="H72" s="160"/>
      <c r="I72" s="160"/>
      <c r="J72" s="133"/>
    </row>
    <row r="73" spans="1:10" ht="12.75">
      <c r="A73" s="131"/>
      <c r="B73" s="132"/>
      <c r="C73" s="132"/>
      <c r="D73" s="132"/>
      <c r="E73" s="132"/>
      <c r="F73" s="132"/>
      <c r="G73" s="132"/>
      <c r="H73" s="160"/>
      <c r="I73" s="160"/>
      <c r="J73" s="133"/>
    </row>
    <row r="74" spans="1:10" ht="12.75">
      <c r="A74" s="131"/>
      <c r="B74" s="132"/>
      <c r="C74" s="132"/>
      <c r="D74" s="132"/>
      <c r="E74" s="132"/>
      <c r="F74" s="132"/>
      <c r="G74" s="132"/>
      <c r="H74" s="160"/>
      <c r="I74" s="160"/>
      <c r="J74" s="133"/>
    </row>
    <row r="75" spans="1:10" ht="12.75">
      <c r="A75" s="131"/>
      <c r="B75" s="132"/>
      <c r="C75" s="132"/>
      <c r="D75" s="132"/>
      <c r="E75" s="132"/>
      <c r="F75" s="132"/>
      <c r="G75" s="132"/>
      <c r="H75" s="160"/>
      <c r="I75" s="160"/>
      <c r="J75" s="133"/>
    </row>
    <row r="76" spans="1:10" ht="12.75">
      <c r="A76" s="131"/>
      <c r="B76" s="132"/>
      <c r="C76" s="132"/>
      <c r="D76" s="132"/>
      <c r="E76" s="132"/>
      <c r="F76" s="132"/>
      <c r="G76" s="132"/>
      <c r="H76" s="160"/>
      <c r="I76" s="160"/>
      <c r="J76" s="133"/>
    </row>
    <row r="77" spans="1:10" ht="12.75">
      <c r="A77" s="131"/>
      <c r="B77" s="132"/>
      <c r="C77" s="132"/>
      <c r="D77" s="132"/>
      <c r="E77" s="132"/>
      <c r="F77" s="132"/>
      <c r="G77" s="132"/>
      <c r="H77" s="160"/>
      <c r="I77" s="160"/>
      <c r="J77" s="133"/>
    </row>
  </sheetData>
  <mergeCells count="48">
    <mergeCell ref="G3:G4"/>
    <mergeCell ref="H3:I3"/>
    <mergeCell ref="A3:A4"/>
    <mergeCell ref="J3:J4"/>
    <mergeCell ref="B3:C4"/>
    <mergeCell ref="D3:D4"/>
    <mergeCell ref="E3:E4"/>
    <mergeCell ref="F3:F4"/>
    <mergeCell ref="F68:F69"/>
    <mergeCell ref="G68:G69"/>
    <mergeCell ref="H68:I68"/>
    <mergeCell ref="J68:J69"/>
    <mergeCell ref="A68:A69"/>
    <mergeCell ref="B68:C69"/>
    <mergeCell ref="D68:D69"/>
    <mergeCell ref="E68:E69"/>
    <mergeCell ref="F55:F56"/>
    <mergeCell ref="G55:G56"/>
    <mergeCell ref="H55:I55"/>
    <mergeCell ref="J55:J56"/>
    <mergeCell ref="A55:A56"/>
    <mergeCell ref="B55:C56"/>
    <mergeCell ref="D55:D56"/>
    <mergeCell ref="E55:E56"/>
    <mergeCell ref="F42:F43"/>
    <mergeCell ref="G42:G43"/>
    <mergeCell ref="H42:I42"/>
    <mergeCell ref="J42:J43"/>
    <mergeCell ref="A42:A43"/>
    <mergeCell ref="B42:C43"/>
    <mergeCell ref="D42:D43"/>
    <mergeCell ref="E42:E43"/>
    <mergeCell ref="F29:F30"/>
    <mergeCell ref="G29:G30"/>
    <mergeCell ref="H29:I29"/>
    <mergeCell ref="J29:J30"/>
    <mergeCell ref="A29:A30"/>
    <mergeCell ref="B29:C30"/>
    <mergeCell ref="D29:D30"/>
    <mergeCell ref="E29:E30"/>
    <mergeCell ref="F16:F17"/>
    <mergeCell ref="G16:G17"/>
    <mergeCell ref="H16:I16"/>
    <mergeCell ref="J16:J17"/>
    <mergeCell ref="A16:A17"/>
    <mergeCell ref="B16:C17"/>
    <mergeCell ref="D16:D17"/>
    <mergeCell ref="E16:E17"/>
  </mergeCells>
  <dataValidations count="3">
    <dataValidation type="list" allowBlank="1" showInputMessage="1" showErrorMessage="1" sqref="H2 H15 H28 H41 H54 H67">
      <formula1>AccNo</formula1>
    </dataValidation>
    <dataValidation type="list" allowBlank="1" showInputMessage="1" showErrorMessage="1" sqref="D5:D12 D57:D64 D31:D38 D44:D51 D18:D25 D70:D77">
      <formula1>ItemNames</formula1>
    </dataValidation>
    <dataValidation type="list" allowBlank="1" showInputMessage="1" showErrorMessage="1" sqref="E5:E12 E57:E64 E31:E38 E44:E51 E18:E25 E70:E77">
      <formula1>JournalNo</formula1>
    </dataValidation>
  </dataValidations>
  <printOptions horizontalCentered="1"/>
  <pageMargins left="0.75" right="0.75" top="1" bottom="1" header="0.5" footer="0.5"/>
  <pageSetup fitToHeight="0" fitToWidth="1" horizontalDpi="600" verticalDpi="600" orientation="portrait" r:id="rId1"/>
  <headerFooter alignWithMargins="0">
    <oddHeader>&amp;L&amp;F&amp;C&amp;A&amp;R&amp;D</oddHeader>
    <oddFooter>&amp;CPage &amp;P of &amp;N</oddFooter>
  </headerFooter>
</worksheet>
</file>

<file path=xl/worksheets/sheet52.xml><?xml version="1.0" encoding="utf-8"?>
<worksheet xmlns="http://schemas.openxmlformats.org/spreadsheetml/2006/main" xmlns:r="http://schemas.openxmlformats.org/officeDocument/2006/relationships">
  <sheetPr>
    <tabColor indexed="45"/>
    <pageSetUpPr fitToPage="1"/>
  </sheetPr>
  <dimension ref="A1:J51"/>
  <sheetViews>
    <sheetView showGridLines="0" workbookViewId="0" topLeftCell="A1">
      <selection activeCell="D29" sqref="D29:F30"/>
    </sheetView>
  </sheetViews>
  <sheetFormatPr defaultColWidth="9.140625" defaultRowHeight="12.75"/>
  <cols>
    <col min="1" max="1" width="2.7109375" style="0" customWidth="1"/>
    <col min="3" max="3" width="4.28125" style="0" customWidth="1"/>
    <col min="5" max="5" width="6.8515625" style="0" customWidth="1"/>
    <col min="6" max="7" width="11.140625" style="0" bestFit="1" customWidth="1"/>
    <col min="8" max="8" width="11.28125" style="0" bestFit="1" customWidth="1"/>
    <col min="9" max="9" width="11.140625" style="0" bestFit="1" customWidth="1"/>
    <col min="10" max="10" width="2.7109375" style="0" customWidth="1"/>
  </cols>
  <sheetData>
    <row r="1" spans="2:3" ht="12.75">
      <c r="B1" s="164" t="s">
        <v>210</v>
      </c>
      <c r="C1" s="164" t="str">
        <f>'Assumptions (an)'!J54</f>
        <v>Crosby Products</v>
      </c>
    </row>
    <row r="2" spans="1:10" ht="13.5" thickBot="1">
      <c r="A2" s="158"/>
      <c r="B2" s="159" t="s">
        <v>211</v>
      </c>
      <c r="C2" s="159"/>
      <c r="D2" s="158"/>
      <c r="E2" s="158"/>
      <c r="F2" s="158"/>
      <c r="G2" s="158"/>
      <c r="H2" s="159"/>
      <c r="I2" s="158"/>
      <c r="J2" s="158"/>
    </row>
    <row r="3" spans="1:10" ht="14.25" thickBot="1" thickTop="1">
      <c r="A3" s="258"/>
      <c r="B3" s="260" t="s">
        <v>17</v>
      </c>
      <c r="C3" s="261"/>
      <c r="D3" s="260" t="s">
        <v>207</v>
      </c>
      <c r="E3" s="260" t="s">
        <v>177</v>
      </c>
      <c r="F3" s="264" t="s">
        <v>38</v>
      </c>
      <c r="G3" s="264" t="s">
        <v>39</v>
      </c>
      <c r="H3" s="266" t="s">
        <v>208</v>
      </c>
      <c r="I3" s="267"/>
      <c r="J3" s="268"/>
    </row>
    <row r="4" spans="1:10" ht="13.5" thickTop="1">
      <c r="A4" s="259"/>
      <c r="B4" s="262"/>
      <c r="C4" s="263"/>
      <c r="D4" s="262"/>
      <c r="E4" s="262"/>
      <c r="F4" s="265"/>
      <c r="G4" s="265"/>
      <c r="H4" s="145" t="s">
        <v>38</v>
      </c>
      <c r="I4" s="145" t="s">
        <v>39</v>
      </c>
      <c r="J4" s="269"/>
    </row>
    <row r="5" spans="1:10" ht="12.75">
      <c r="A5" s="131"/>
      <c r="B5" s="132" t="str">
        <f>'Assumptions (an)'!$G$31</f>
        <v>2006</v>
      </c>
      <c r="C5" s="132"/>
      <c r="D5" s="132"/>
      <c r="E5" s="132"/>
      <c r="F5" s="132"/>
      <c r="G5" s="132"/>
      <c r="H5" s="132"/>
      <c r="I5" s="132"/>
      <c r="J5" s="133"/>
    </row>
    <row r="6" spans="1:10" ht="12.75">
      <c r="A6" s="131"/>
      <c r="B6" s="132" t="str">
        <f>'Assumptions (an)'!$G$32</f>
        <v>Jan.</v>
      </c>
      <c r="C6" s="132">
        <f>'Purchase (an)'!C5</f>
        <v>18</v>
      </c>
      <c r="D6" s="132"/>
      <c r="E6" s="162" t="str">
        <f>'Purchase (an)'!J1</f>
        <v>PJ56</v>
      </c>
      <c r="F6" s="132"/>
      <c r="G6" s="160">
        <f>'Purchase (an)'!J5</f>
        <v>4930</v>
      </c>
      <c r="H6" s="160"/>
      <c r="I6" s="160">
        <f>G6</f>
        <v>4930</v>
      </c>
      <c r="J6" s="133"/>
    </row>
    <row r="7" spans="1:10" ht="12.75">
      <c r="A7" s="131"/>
      <c r="B7" s="132"/>
      <c r="C7" s="132">
        <f>'General (an)'!C12</f>
        <v>23</v>
      </c>
      <c r="D7" s="132"/>
      <c r="E7" s="132" t="str">
        <f>'General (an)'!H1</f>
        <v>GL100</v>
      </c>
      <c r="F7" s="168">
        <f>'General (an)'!G12</f>
        <v>425</v>
      </c>
      <c r="G7" s="132"/>
      <c r="H7" s="160"/>
      <c r="I7" s="160">
        <f>I6-F7</f>
        <v>4505</v>
      </c>
      <c r="J7" s="133"/>
    </row>
    <row r="8" spans="1:10" ht="12.75">
      <c r="A8" s="131"/>
      <c r="B8" s="132"/>
      <c r="C8" s="132"/>
      <c r="D8" s="132"/>
      <c r="E8" s="132"/>
      <c r="F8" s="132"/>
      <c r="G8" s="132"/>
      <c r="H8" s="160"/>
      <c r="I8" s="160"/>
      <c r="J8" s="133"/>
    </row>
    <row r="9" spans="1:10" ht="12.75">
      <c r="A9" s="131"/>
      <c r="B9" s="132"/>
      <c r="C9" s="132"/>
      <c r="D9" s="132"/>
      <c r="E9" s="132"/>
      <c r="F9" s="132"/>
      <c r="G9" s="132"/>
      <c r="H9" s="160"/>
      <c r="I9" s="160"/>
      <c r="J9" s="133"/>
    </row>
    <row r="10" spans="1:10" ht="12.75">
      <c r="A10" s="131"/>
      <c r="B10" s="132"/>
      <c r="C10" s="132"/>
      <c r="D10" s="132"/>
      <c r="E10" s="132"/>
      <c r="F10" s="132"/>
      <c r="G10" s="132"/>
      <c r="H10" s="160"/>
      <c r="I10" s="160"/>
      <c r="J10" s="133"/>
    </row>
    <row r="11" spans="1:10" ht="12.75">
      <c r="A11" s="131"/>
      <c r="B11" s="132"/>
      <c r="C11" s="132"/>
      <c r="D11" s="132"/>
      <c r="E11" s="132"/>
      <c r="F11" s="132"/>
      <c r="G11" s="132"/>
      <c r="H11" s="160"/>
      <c r="I11" s="160"/>
      <c r="J11" s="133"/>
    </row>
    <row r="12" spans="1:10" ht="12.75">
      <c r="A12" s="131"/>
      <c r="B12" s="132"/>
      <c r="C12" s="132"/>
      <c r="D12" s="132"/>
      <c r="E12" s="132"/>
      <c r="F12" s="132"/>
      <c r="G12" s="132"/>
      <c r="H12" s="160"/>
      <c r="I12" s="160"/>
      <c r="J12" s="133"/>
    </row>
    <row r="14" spans="2:3" ht="12.75">
      <c r="B14" s="164" t="s">
        <v>210</v>
      </c>
      <c r="C14" s="164" t="str">
        <f>'Assumptions (an)'!J55</f>
        <v>Duncan Office Supply</v>
      </c>
    </row>
    <row r="15" spans="1:10" ht="13.5" thickBot="1">
      <c r="A15" s="158"/>
      <c r="B15" s="159" t="s">
        <v>211</v>
      </c>
      <c r="C15" s="159"/>
      <c r="D15" s="158"/>
      <c r="E15" s="158"/>
      <c r="F15" s="158"/>
      <c r="G15" s="158"/>
      <c r="H15" s="159"/>
      <c r="I15" s="158"/>
      <c r="J15" s="158"/>
    </row>
    <row r="16" spans="1:10" ht="14.25" thickBot="1" thickTop="1">
      <c r="A16" s="258"/>
      <c r="B16" s="260" t="s">
        <v>17</v>
      </c>
      <c r="C16" s="261"/>
      <c r="D16" s="260" t="s">
        <v>207</v>
      </c>
      <c r="E16" s="260" t="s">
        <v>177</v>
      </c>
      <c r="F16" s="264" t="s">
        <v>38</v>
      </c>
      <c r="G16" s="264" t="s">
        <v>39</v>
      </c>
      <c r="H16" s="266" t="s">
        <v>208</v>
      </c>
      <c r="I16" s="267"/>
      <c r="J16" s="268"/>
    </row>
    <row r="17" spans="1:10" ht="13.5" thickTop="1">
      <c r="A17" s="259"/>
      <c r="B17" s="262"/>
      <c r="C17" s="263"/>
      <c r="D17" s="262"/>
      <c r="E17" s="262"/>
      <c r="F17" s="265"/>
      <c r="G17" s="265"/>
      <c r="H17" s="145" t="s">
        <v>38</v>
      </c>
      <c r="I17" s="145" t="s">
        <v>39</v>
      </c>
      <c r="J17" s="269"/>
    </row>
    <row r="18" spans="1:10" ht="12.75">
      <c r="A18" s="131"/>
      <c r="B18" s="132" t="str">
        <f>'Assumptions (an)'!$G$31</f>
        <v>2006</v>
      </c>
      <c r="C18" s="132"/>
      <c r="D18" s="132"/>
      <c r="E18" s="132"/>
      <c r="F18" s="132"/>
      <c r="G18" s="132"/>
      <c r="H18" s="132"/>
      <c r="I18" s="132"/>
      <c r="J18" s="133"/>
    </row>
    <row r="19" spans="1:10" ht="12.75">
      <c r="A19" s="131"/>
      <c r="B19" s="132" t="str">
        <f>'Assumptions (an)'!$G$32</f>
        <v>Jan.</v>
      </c>
      <c r="C19" s="132">
        <f>'General (an)'!C4</f>
        <v>7</v>
      </c>
      <c r="D19" s="132"/>
      <c r="E19" s="162" t="str">
        <f>'General (an)'!H1</f>
        <v>GL100</v>
      </c>
      <c r="F19" s="132"/>
      <c r="G19" s="168">
        <f>'General (an)'!H5</f>
        <v>98</v>
      </c>
      <c r="H19" s="160"/>
      <c r="I19" s="160">
        <f>G19</f>
        <v>98</v>
      </c>
      <c r="J19" s="133"/>
    </row>
    <row r="20" spans="1:10" ht="12.75">
      <c r="A20" s="131"/>
      <c r="B20" s="132"/>
      <c r="C20" s="132"/>
      <c r="D20" s="132"/>
      <c r="E20" s="132"/>
      <c r="F20" s="132"/>
      <c r="G20" s="132"/>
      <c r="H20" s="160"/>
      <c r="I20" s="160"/>
      <c r="J20" s="133"/>
    </row>
    <row r="21" spans="1:10" ht="12.75">
      <c r="A21" s="131"/>
      <c r="B21" s="132"/>
      <c r="C21" s="132"/>
      <c r="D21" s="132"/>
      <c r="E21" s="132"/>
      <c r="F21" s="132"/>
      <c r="G21" s="132"/>
      <c r="H21" s="160"/>
      <c r="I21" s="160"/>
      <c r="J21" s="133"/>
    </row>
    <row r="22" spans="1:10" ht="12.75">
      <c r="A22" s="131"/>
      <c r="B22" s="132"/>
      <c r="C22" s="132"/>
      <c r="D22" s="132"/>
      <c r="E22" s="132"/>
      <c r="F22" s="132"/>
      <c r="G22" s="132"/>
      <c r="H22" s="160"/>
      <c r="I22" s="160"/>
      <c r="J22" s="133"/>
    </row>
    <row r="23" spans="1:10" ht="12.75">
      <c r="A23" s="131"/>
      <c r="B23" s="132"/>
      <c r="C23" s="132"/>
      <c r="D23" s="132"/>
      <c r="E23" s="132"/>
      <c r="F23" s="132"/>
      <c r="G23" s="132"/>
      <c r="H23" s="160"/>
      <c r="I23" s="160"/>
      <c r="J23" s="133"/>
    </row>
    <row r="24" spans="1:10" ht="12.75">
      <c r="A24" s="131"/>
      <c r="B24" s="132"/>
      <c r="C24" s="132"/>
      <c r="D24" s="132"/>
      <c r="E24" s="132"/>
      <c r="F24" s="132"/>
      <c r="G24" s="132"/>
      <c r="H24" s="160"/>
      <c r="I24" s="160"/>
      <c r="J24" s="133"/>
    </row>
    <row r="25" spans="1:10" ht="12.75">
      <c r="A25" s="131"/>
      <c r="B25" s="132"/>
      <c r="C25" s="132"/>
      <c r="D25" s="132"/>
      <c r="E25" s="132"/>
      <c r="F25" s="132"/>
      <c r="G25" s="132"/>
      <c r="H25" s="160"/>
      <c r="I25" s="160"/>
      <c r="J25" s="133"/>
    </row>
    <row r="27" spans="2:3" ht="12.75">
      <c r="B27" s="164" t="s">
        <v>210</v>
      </c>
      <c r="C27" s="164" t="str">
        <f>'Assumptions (an)'!J56</f>
        <v>Franklin and Son</v>
      </c>
    </row>
    <row r="28" spans="1:10" ht="13.5" thickBot="1">
      <c r="A28" s="158"/>
      <c r="B28" s="159" t="s">
        <v>211</v>
      </c>
      <c r="C28" s="159"/>
      <c r="D28" s="158"/>
      <c r="E28" s="158"/>
      <c r="F28" s="158"/>
      <c r="G28" s="158"/>
      <c r="H28" s="159"/>
      <c r="I28" s="158"/>
      <c r="J28" s="158"/>
    </row>
    <row r="29" spans="1:10" ht="14.25" thickBot="1" thickTop="1">
      <c r="A29" s="258"/>
      <c r="B29" s="260" t="s">
        <v>17</v>
      </c>
      <c r="C29" s="261"/>
      <c r="D29" s="260" t="s">
        <v>207</v>
      </c>
      <c r="E29" s="260" t="s">
        <v>177</v>
      </c>
      <c r="F29" s="264" t="s">
        <v>38</v>
      </c>
      <c r="G29" s="264" t="s">
        <v>39</v>
      </c>
      <c r="H29" s="266" t="s">
        <v>208</v>
      </c>
      <c r="I29" s="267"/>
      <c r="J29" s="268"/>
    </row>
    <row r="30" spans="1:10" ht="13.5" thickTop="1">
      <c r="A30" s="259"/>
      <c r="B30" s="262"/>
      <c r="C30" s="263"/>
      <c r="D30" s="262"/>
      <c r="E30" s="262"/>
      <c r="F30" s="265"/>
      <c r="G30" s="265"/>
      <c r="H30" s="145" t="s">
        <v>38</v>
      </c>
      <c r="I30" s="145" t="s">
        <v>39</v>
      </c>
      <c r="J30" s="269"/>
    </row>
    <row r="31" spans="1:10" ht="12.75">
      <c r="A31" s="131"/>
      <c r="B31" s="132" t="str">
        <f>'Assumptions (an)'!$G$31</f>
        <v>2006</v>
      </c>
      <c r="C31" s="132"/>
      <c r="D31" s="132"/>
      <c r="E31" s="132"/>
      <c r="F31" s="132"/>
      <c r="G31" s="132"/>
      <c r="H31" s="132"/>
      <c r="I31" s="132"/>
      <c r="J31" s="133"/>
    </row>
    <row r="32" spans="1:10" ht="12.75">
      <c r="A32" s="131"/>
      <c r="B32" s="132" t="str">
        <f>'Assumptions (an)'!$G$32</f>
        <v>Jan.</v>
      </c>
      <c r="C32" s="180" t="str">
        <f>'Assumptions (an)'!$G$33</f>
        <v>1</v>
      </c>
      <c r="D32" s="132" t="s">
        <v>152</v>
      </c>
      <c r="E32" s="161" t="s">
        <v>209</v>
      </c>
      <c r="F32" s="132"/>
      <c r="G32" s="132"/>
      <c r="H32" s="160"/>
      <c r="I32" s="160">
        <f>'Assumptions (an)'!K56</f>
        <v>600</v>
      </c>
      <c r="J32" s="133"/>
    </row>
    <row r="33" spans="1:10" ht="12.75">
      <c r="A33" s="131"/>
      <c r="B33" s="132"/>
      <c r="C33" s="132">
        <f>'Cash Pay. (an)'!C5</f>
        <v>7</v>
      </c>
      <c r="D33" s="132"/>
      <c r="E33" s="132" t="str">
        <f>'Cash Pay. (an)'!I1</f>
        <v>CP45</v>
      </c>
      <c r="F33" s="160">
        <f>'Cash Pay. (an)'!H5</f>
        <v>500</v>
      </c>
      <c r="G33" s="132"/>
      <c r="H33" s="160"/>
      <c r="I33" s="160">
        <f>I32-F33</f>
        <v>100</v>
      </c>
      <c r="J33" s="133"/>
    </row>
    <row r="34" spans="1:10" ht="12.75">
      <c r="A34" s="131"/>
      <c r="B34" s="132"/>
      <c r="C34" s="132"/>
      <c r="D34" s="132"/>
      <c r="E34" s="132"/>
      <c r="F34" s="132"/>
      <c r="G34" s="132"/>
      <c r="H34" s="160"/>
      <c r="I34" s="160"/>
      <c r="J34" s="133"/>
    </row>
    <row r="35" spans="1:10" ht="12.75">
      <c r="A35" s="131"/>
      <c r="B35" s="132"/>
      <c r="C35" s="132"/>
      <c r="D35" s="132"/>
      <c r="E35" s="132"/>
      <c r="F35" s="132"/>
      <c r="G35" s="132"/>
      <c r="H35" s="160"/>
      <c r="I35" s="160"/>
      <c r="J35" s="133"/>
    </row>
    <row r="36" spans="1:10" ht="12.75">
      <c r="A36" s="131"/>
      <c r="B36" s="132"/>
      <c r="C36" s="132"/>
      <c r="D36" s="132"/>
      <c r="E36" s="132"/>
      <c r="F36" s="132"/>
      <c r="G36" s="132"/>
      <c r="H36" s="160"/>
      <c r="I36" s="160"/>
      <c r="J36" s="133"/>
    </row>
    <row r="37" spans="1:10" ht="12.75">
      <c r="A37" s="131"/>
      <c r="B37" s="132"/>
      <c r="C37" s="132"/>
      <c r="D37" s="132"/>
      <c r="E37" s="132"/>
      <c r="F37" s="132"/>
      <c r="G37" s="132"/>
      <c r="H37" s="160"/>
      <c r="I37" s="160"/>
      <c r="J37" s="133"/>
    </row>
    <row r="38" spans="1:10" ht="12.75">
      <c r="A38" s="131"/>
      <c r="B38" s="132"/>
      <c r="C38" s="132"/>
      <c r="D38" s="132"/>
      <c r="E38" s="132"/>
      <c r="F38" s="132"/>
      <c r="G38" s="132"/>
      <c r="H38" s="160"/>
      <c r="I38" s="160"/>
      <c r="J38" s="133"/>
    </row>
    <row r="40" spans="2:3" ht="12.75">
      <c r="B40" s="164" t="s">
        <v>210</v>
      </c>
      <c r="C40" s="164" t="str">
        <f>'Assumptions (an)'!J57</f>
        <v>Vaughn and Company</v>
      </c>
    </row>
    <row r="41" spans="1:10" ht="13.5" thickBot="1">
      <c r="A41" s="158"/>
      <c r="B41" s="159" t="s">
        <v>211</v>
      </c>
      <c r="C41" s="159"/>
      <c r="D41" s="158"/>
      <c r="E41" s="158"/>
      <c r="F41" s="158"/>
      <c r="G41" s="158"/>
      <c r="H41" s="159"/>
      <c r="I41" s="158"/>
      <c r="J41" s="158"/>
    </row>
    <row r="42" spans="1:10" ht="14.25" thickBot="1" thickTop="1">
      <c r="A42" s="258"/>
      <c r="B42" s="260" t="s">
        <v>17</v>
      </c>
      <c r="C42" s="261"/>
      <c r="D42" s="260" t="s">
        <v>207</v>
      </c>
      <c r="E42" s="260" t="s">
        <v>177</v>
      </c>
      <c r="F42" s="264" t="s">
        <v>38</v>
      </c>
      <c r="G42" s="264" t="s">
        <v>39</v>
      </c>
      <c r="H42" s="266" t="s">
        <v>208</v>
      </c>
      <c r="I42" s="267"/>
      <c r="J42" s="268"/>
    </row>
    <row r="43" spans="1:10" ht="13.5" thickTop="1">
      <c r="A43" s="259"/>
      <c r="B43" s="262"/>
      <c r="C43" s="263"/>
      <c r="D43" s="262"/>
      <c r="E43" s="262"/>
      <c r="F43" s="265"/>
      <c r="G43" s="265"/>
      <c r="H43" s="145" t="s">
        <v>38</v>
      </c>
      <c r="I43" s="145" t="s">
        <v>39</v>
      </c>
      <c r="J43" s="269"/>
    </row>
    <row r="44" spans="1:10" ht="12.75">
      <c r="A44" s="131"/>
      <c r="B44" s="132" t="str">
        <f>'Assumptions (an)'!$G$31</f>
        <v>2006</v>
      </c>
      <c r="C44" s="132"/>
      <c r="D44" s="132"/>
      <c r="E44" s="132"/>
      <c r="F44" s="132"/>
      <c r="G44" s="132"/>
      <c r="H44" s="132"/>
      <c r="I44" s="132"/>
      <c r="J44" s="133"/>
    </row>
    <row r="45" spans="1:10" ht="12.75">
      <c r="A45" s="131"/>
      <c r="B45" s="132" t="str">
        <f>'Assumptions (an)'!$G$32</f>
        <v>Jan.</v>
      </c>
      <c r="C45" s="132">
        <f>'Purchase (an)'!C4</f>
        <v>4</v>
      </c>
      <c r="D45" s="132"/>
      <c r="E45" s="162" t="str">
        <f>'Purchase (an)'!J1</f>
        <v>PJ56</v>
      </c>
      <c r="F45" s="132"/>
      <c r="G45" s="160">
        <f>'Purchase (an)'!J4</f>
        <v>2840</v>
      </c>
      <c r="H45" s="160"/>
      <c r="I45" s="160">
        <f>G45</f>
        <v>2840</v>
      </c>
      <c r="J45" s="133"/>
    </row>
    <row r="46" spans="1:10" ht="12.75">
      <c r="A46" s="131"/>
      <c r="B46" s="132"/>
      <c r="C46" s="132">
        <f>'Cash Pay. (an)'!C6</f>
        <v>11</v>
      </c>
      <c r="D46" s="132"/>
      <c r="E46" s="132" t="str">
        <f>'Cash Pay. (an)'!I1</f>
        <v>CP45</v>
      </c>
      <c r="F46" s="160">
        <f>'Cash Pay. (an)'!H6</f>
        <v>2840</v>
      </c>
      <c r="G46" s="132"/>
      <c r="H46" s="160"/>
      <c r="I46" s="160">
        <f>I45-F46</f>
        <v>0</v>
      </c>
      <c r="J46" s="133"/>
    </row>
    <row r="47" spans="1:10" ht="12.75">
      <c r="A47" s="131"/>
      <c r="B47" s="132"/>
      <c r="C47" s="132"/>
      <c r="D47" s="132"/>
      <c r="E47" s="132"/>
      <c r="F47" s="132"/>
      <c r="G47" s="132"/>
      <c r="H47" s="160"/>
      <c r="I47" s="160"/>
      <c r="J47" s="133"/>
    </row>
    <row r="48" spans="1:10" ht="12.75">
      <c r="A48" s="131"/>
      <c r="B48" s="132"/>
      <c r="C48" s="132"/>
      <c r="D48" s="132"/>
      <c r="E48" s="132"/>
      <c r="F48" s="132"/>
      <c r="G48" s="132"/>
      <c r="H48" s="160"/>
      <c r="I48" s="160"/>
      <c r="J48" s="133"/>
    </row>
    <row r="49" spans="1:10" ht="12.75">
      <c r="A49" s="131"/>
      <c r="B49" s="132"/>
      <c r="C49" s="132"/>
      <c r="D49" s="132"/>
      <c r="E49" s="132"/>
      <c r="F49" s="132"/>
      <c r="G49" s="132"/>
      <c r="H49" s="160"/>
      <c r="I49" s="160"/>
      <c r="J49" s="133"/>
    </row>
    <row r="50" spans="1:10" ht="12.75">
      <c r="A50" s="131"/>
      <c r="B50" s="132"/>
      <c r="C50" s="132"/>
      <c r="D50" s="132"/>
      <c r="E50" s="132"/>
      <c r="F50" s="132"/>
      <c r="G50" s="132"/>
      <c r="H50" s="160"/>
      <c r="I50" s="160"/>
      <c r="J50" s="133"/>
    </row>
    <row r="51" spans="1:10" ht="12.75">
      <c r="A51" s="131"/>
      <c r="B51" s="132"/>
      <c r="C51" s="132"/>
      <c r="D51" s="132"/>
      <c r="E51" s="132"/>
      <c r="F51" s="132"/>
      <c r="G51" s="132"/>
      <c r="H51" s="160"/>
      <c r="I51" s="160"/>
      <c r="J51" s="133"/>
    </row>
  </sheetData>
  <mergeCells count="32">
    <mergeCell ref="A16:A17"/>
    <mergeCell ref="B16:C17"/>
    <mergeCell ref="D16:D17"/>
    <mergeCell ref="E16:E17"/>
    <mergeCell ref="F16:F17"/>
    <mergeCell ref="G16:G17"/>
    <mergeCell ref="H16:I16"/>
    <mergeCell ref="J16:J17"/>
    <mergeCell ref="A29:A30"/>
    <mergeCell ref="B29:C30"/>
    <mergeCell ref="D29:D30"/>
    <mergeCell ref="E29:E30"/>
    <mergeCell ref="F29:F30"/>
    <mergeCell ref="G29:G30"/>
    <mergeCell ref="H29:I29"/>
    <mergeCell ref="J29:J30"/>
    <mergeCell ref="A42:A43"/>
    <mergeCell ref="B42:C43"/>
    <mergeCell ref="D42:D43"/>
    <mergeCell ref="E42:E43"/>
    <mergeCell ref="F42:F43"/>
    <mergeCell ref="G42:G43"/>
    <mergeCell ref="H42:I42"/>
    <mergeCell ref="J42:J43"/>
    <mergeCell ref="G3:G4"/>
    <mergeCell ref="H3:I3"/>
    <mergeCell ref="A3:A4"/>
    <mergeCell ref="J3:J4"/>
    <mergeCell ref="B3:C4"/>
    <mergeCell ref="D3:D4"/>
    <mergeCell ref="E3:E4"/>
    <mergeCell ref="F3:F4"/>
  </mergeCells>
  <dataValidations count="3">
    <dataValidation type="list" allowBlank="1" showInputMessage="1" showErrorMessage="1" sqref="H2 H15 H28 H41">
      <formula1>AccNo</formula1>
    </dataValidation>
    <dataValidation type="list" allowBlank="1" showInputMessage="1" showErrorMessage="1" sqref="D5:D12 D31:D38 D44:D51 D18:D25">
      <formula1>ItemNames</formula1>
    </dataValidation>
    <dataValidation type="list" allowBlank="1" showInputMessage="1" showErrorMessage="1" sqref="E5:E12 E31:E38 E44:E51 E18:E25">
      <formula1>JournalNo</formula1>
    </dataValidation>
  </dataValidations>
  <printOptions horizontalCentered="1"/>
  <pageMargins left="0.75" right="0.75" top="1" bottom="1" header="0.5" footer="0.5"/>
  <pageSetup fitToHeight="0" fitToWidth="1" horizontalDpi="600" verticalDpi="600" orientation="portrait" r:id="rId1"/>
  <headerFooter alignWithMargins="0">
    <oddHeader>&amp;L&amp;F&amp;C&amp;A&amp;R&amp;D</oddHeader>
    <oddFooter>&amp;CPage &amp;P of &amp;N</oddFooter>
  </headerFooter>
</worksheet>
</file>

<file path=xl/worksheets/sheet53.xml><?xml version="1.0" encoding="utf-8"?>
<worksheet xmlns="http://schemas.openxmlformats.org/spreadsheetml/2006/main" xmlns:r="http://schemas.openxmlformats.org/officeDocument/2006/relationships">
  <sheetPr>
    <tabColor indexed="10"/>
    <pageSetUpPr fitToPage="1"/>
  </sheetPr>
  <dimension ref="A1:G33"/>
  <sheetViews>
    <sheetView showGridLines="0" zoomScale="85" zoomScaleNormal="85" workbookViewId="0" topLeftCell="A1">
      <selection activeCell="D29" sqref="D29:F30"/>
    </sheetView>
  </sheetViews>
  <sheetFormatPr defaultColWidth="9.140625" defaultRowHeight="12.75"/>
  <cols>
    <col min="1" max="1" width="2.8515625" style="0" customWidth="1"/>
    <col min="2" max="2" width="43.00390625" style="0" customWidth="1"/>
    <col min="3" max="4" width="10.57421875" style="0" bestFit="1" customWidth="1"/>
    <col min="5" max="5" width="2.8515625" style="0" customWidth="1"/>
  </cols>
  <sheetData>
    <row r="1" spans="1:5" ht="13.5" thickBot="1">
      <c r="A1" s="204" t="str">
        <f>'Assumptions (an)'!$G$38</f>
        <v>Jay Hammonds Auto Supply</v>
      </c>
      <c r="B1" s="204"/>
      <c r="C1" s="204"/>
      <c r="D1" s="204"/>
      <c r="E1" s="204"/>
    </row>
    <row r="2" spans="1:5" ht="13.5" thickBot="1">
      <c r="A2" s="204" t="s">
        <v>239</v>
      </c>
      <c r="B2" s="204"/>
      <c r="C2" s="204"/>
      <c r="D2" s="204"/>
      <c r="E2" s="204"/>
    </row>
    <row r="3" spans="1:5" ht="13.5" thickBot="1">
      <c r="A3" s="204" t="str">
        <f>TEXT('Assumptions (an)'!$G$30,"mmmm d, yyyy")</f>
        <v>January 31, 2006</v>
      </c>
      <c r="B3" s="204"/>
      <c r="C3" s="204"/>
      <c r="D3" s="204"/>
      <c r="E3" s="204"/>
    </row>
    <row r="4" ht="13.5" thickBot="1"/>
    <row r="5" spans="1:5" ht="14.25" thickBot="1" thickTop="1">
      <c r="A5" s="139"/>
      <c r="B5" s="141" t="s">
        <v>212</v>
      </c>
      <c r="C5" s="165" t="s">
        <v>38</v>
      </c>
      <c r="D5" s="165" t="s">
        <v>39</v>
      </c>
      <c r="E5" s="143"/>
    </row>
    <row r="6" spans="1:5" ht="13.5" thickTop="1">
      <c r="A6" s="144"/>
      <c r="B6" s="145" t="str">
        <f>'Assumptions (an)'!C3</f>
        <v>Cash</v>
      </c>
      <c r="C6" s="166">
        <f>'Ledgers (an)'!H7</f>
        <v>15405.45</v>
      </c>
      <c r="D6" s="166"/>
      <c r="E6" s="146"/>
    </row>
    <row r="7" spans="1:5" ht="12.75">
      <c r="A7" s="131"/>
      <c r="B7" s="145" t="str">
        <f>'Assumptions (an)'!C4</f>
        <v>Accounts Receivable</v>
      </c>
      <c r="C7" s="160">
        <f>'Ledgers (an)'!H20</f>
        <v>5480</v>
      </c>
      <c r="D7" s="160"/>
      <c r="E7" s="133"/>
    </row>
    <row r="8" spans="1:5" ht="12.75">
      <c r="A8" s="131"/>
      <c r="B8" s="145" t="str">
        <f>'Assumptions (an)'!C5</f>
        <v>Merchandise Inventory</v>
      </c>
      <c r="C8" s="160">
        <f>'Ledgers (an)'!H29</f>
        <v>20584</v>
      </c>
      <c r="D8" s="160"/>
      <c r="E8" s="133"/>
    </row>
    <row r="9" spans="1:5" ht="12.75">
      <c r="A9" s="131"/>
      <c r="B9" s="145" t="str">
        <f>'Assumptions (an)'!C6</f>
        <v>Supplies</v>
      </c>
      <c r="C9" s="160">
        <f>'Ledgers (an)'!H42</f>
        <v>690</v>
      </c>
      <c r="D9" s="160"/>
      <c r="E9" s="133"/>
    </row>
    <row r="10" spans="1:5" ht="12.75">
      <c r="A10" s="131"/>
      <c r="B10" s="145" t="str">
        <f>'Assumptions (an)'!C7</f>
        <v>Prepaid Insurance</v>
      </c>
      <c r="C10" s="160">
        <f>'Ledgers (an)'!H53</f>
        <v>390</v>
      </c>
      <c r="D10" s="160"/>
      <c r="E10" s="133"/>
    </row>
    <row r="11" spans="1:5" ht="12.75">
      <c r="A11" s="131"/>
      <c r="B11" s="145" t="str">
        <f>'Assumptions (an)'!C8</f>
        <v>Equipment</v>
      </c>
      <c r="C11" s="160">
        <f>'Ledgers (an)'!H65</f>
        <v>3644</v>
      </c>
      <c r="D11" s="160"/>
      <c r="E11" s="133"/>
    </row>
    <row r="12" spans="1:5" ht="12.75">
      <c r="A12" s="131"/>
      <c r="B12" s="145" t="str">
        <f>'Assumptions (an)'!C9</f>
        <v>Accounts Payable</v>
      </c>
      <c r="C12" s="160"/>
      <c r="D12" s="160">
        <f>'Ledgers (an)'!I81</f>
        <v>4703</v>
      </c>
      <c r="E12" s="133"/>
    </row>
    <row r="13" spans="1:5" ht="12.75">
      <c r="A13" s="131"/>
      <c r="B13" s="145" t="str">
        <f>'Assumptions (an)'!C10</f>
        <v>Salaries Payable</v>
      </c>
      <c r="C13" s="160"/>
      <c r="D13" s="160">
        <f>'Ledgers (an)'!I90</f>
        <v>0</v>
      </c>
      <c r="E13" s="133"/>
    </row>
    <row r="14" spans="1:5" ht="12.75">
      <c r="A14" s="131"/>
      <c r="B14" s="145" t="str">
        <f>'Assumptions (an)'!C11</f>
        <v>Employees' Federal Tax Payable</v>
      </c>
      <c r="C14" s="160"/>
      <c r="D14" s="160">
        <f>'Ledgers (an)'!I101</f>
        <v>854</v>
      </c>
      <c r="E14" s="133"/>
    </row>
    <row r="15" spans="1:5" ht="12.75">
      <c r="A15" s="131"/>
      <c r="B15" s="145" t="str">
        <f>'Assumptions (an)'!C12</f>
        <v>FICA Payable</v>
      </c>
      <c r="C15" s="160"/>
      <c r="D15" s="160">
        <f>'Ledgers (an)'!I114</f>
        <v>933.3</v>
      </c>
      <c r="E15" s="133"/>
    </row>
    <row r="16" spans="1:5" ht="12.75">
      <c r="A16" s="131"/>
      <c r="B16" s="145" t="str">
        <f>'Assumptions (an)'!C13</f>
        <v>SUTA Payable</v>
      </c>
      <c r="C16" s="160"/>
      <c r="D16" s="160">
        <f>'Ledgers (an)'!I125</f>
        <v>329.4</v>
      </c>
      <c r="E16" s="133"/>
    </row>
    <row r="17" spans="1:5" ht="12.75">
      <c r="A17" s="131"/>
      <c r="B17" s="145" t="str">
        <f>'Assumptions (an)'!C14</f>
        <v>FUTA Payable</v>
      </c>
      <c r="C17" s="160"/>
      <c r="D17" s="160">
        <f>'Ledgers (an)'!I137</f>
        <v>48.8</v>
      </c>
      <c r="E17" s="133"/>
    </row>
    <row r="18" spans="1:5" ht="12.75">
      <c r="A18" s="131"/>
      <c r="B18" s="145" t="str">
        <f>'Assumptions (an)'!C15</f>
        <v>J. Hammonds, Capital</v>
      </c>
      <c r="C18" s="160"/>
      <c r="D18" s="160">
        <f>'Ledgers (an)'!I150</f>
        <v>37200</v>
      </c>
      <c r="E18" s="133"/>
    </row>
    <row r="19" spans="1:5" ht="12.75">
      <c r="A19" s="131"/>
      <c r="B19" s="145" t="str">
        <f>'Assumptions (an)'!C16</f>
        <v>J. Hammonds, Drawing</v>
      </c>
      <c r="C19" s="160">
        <f>'Ledgers (an)'!H161</f>
        <v>950</v>
      </c>
      <c r="D19" s="160"/>
      <c r="E19" s="133"/>
    </row>
    <row r="20" spans="1:5" ht="12.75">
      <c r="A20" s="131"/>
      <c r="B20" s="145" t="str">
        <f>'Assumptions (an)'!C17</f>
        <v>Sales</v>
      </c>
      <c r="C20" s="160"/>
      <c r="D20" s="160">
        <f>'Ledgers (an)'!I174</f>
        <v>18462</v>
      </c>
      <c r="E20" s="133"/>
    </row>
    <row r="21" spans="1:5" ht="12.75">
      <c r="A21" s="131"/>
      <c r="B21" s="145" t="str">
        <f>'Assumptions (an)'!C18</f>
        <v>Sales Returns and Allowances</v>
      </c>
      <c r="C21" s="160">
        <f>'Ledgers (an)'!H185</f>
        <v>50</v>
      </c>
      <c r="D21" s="160"/>
      <c r="E21" s="133"/>
    </row>
    <row r="22" spans="1:5" ht="12.75">
      <c r="A22" s="131"/>
      <c r="B22" s="145" t="str">
        <f>'Assumptions (an)'!C19</f>
        <v>Sales Discounts</v>
      </c>
      <c r="C22" s="160">
        <f>'Ledgers (an)'!H197</f>
        <v>33</v>
      </c>
      <c r="D22" s="160"/>
      <c r="E22" s="133"/>
    </row>
    <row r="23" spans="1:5" ht="12.75">
      <c r="A23" s="131"/>
      <c r="B23" s="145" t="str">
        <f>'Assumptions (an)'!C20</f>
        <v>Purchases</v>
      </c>
      <c r="C23" s="160">
        <f>'Ledgers (an)'!H209</f>
        <v>7620</v>
      </c>
      <c r="D23" s="160"/>
      <c r="E23" s="133"/>
    </row>
    <row r="24" spans="1:5" ht="12.75">
      <c r="A24" s="131"/>
      <c r="B24" s="145" t="str">
        <f>'Assumptions (an)'!C21</f>
        <v>Purchases Returns and Allowances</v>
      </c>
      <c r="C24" s="160"/>
      <c r="D24" s="160">
        <f>'Ledgers (an)'!I221</f>
        <v>425</v>
      </c>
      <c r="E24" s="133"/>
    </row>
    <row r="25" spans="1:5" ht="12.75">
      <c r="A25" s="131"/>
      <c r="B25" s="145" t="str">
        <f>'Assumptions (an)'!C22</f>
        <v>Purchases Discounts</v>
      </c>
      <c r="C25" s="160"/>
      <c r="D25" s="160">
        <f>'Ledgers (an)'!I233</f>
        <v>66.8</v>
      </c>
      <c r="E25" s="133"/>
    </row>
    <row r="26" spans="1:5" ht="12.75">
      <c r="A26" s="131"/>
      <c r="B26" s="145" t="str">
        <f>'Assumptions (an)'!C23</f>
        <v>Freight In</v>
      </c>
      <c r="C26" s="160">
        <f>'Ledgers (an)'!H246</f>
        <v>300</v>
      </c>
      <c r="D26" s="160"/>
      <c r="E26" s="133"/>
    </row>
    <row r="27" spans="1:5" ht="12.75">
      <c r="A27" s="131"/>
      <c r="B27" s="145" t="str">
        <f>'Assumptions (an)'!C24</f>
        <v>Salaries Expense</v>
      </c>
      <c r="C27" s="160">
        <f>'Ledgers (an)'!H257</f>
        <v>6100</v>
      </c>
      <c r="D27" s="160"/>
      <c r="E27" s="133"/>
    </row>
    <row r="28" spans="1:5" ht="12.75">
      <c r="A28" s="131"/>
      <c r="B28" s="145" t="str">
        <f>'Assumptions (an)'!C25</f>
        <v>Payroll Tax Expense</v>
      </c>
      <c r="C28" s="160">
        <f>'Ledgers (an)'!H269</f>
        <v>844.8499999999999</v>
      </c>
      <c r="D28" s="160"/>
      <c r="E28" s="133"/>
    </row>
    <row r="29" spans="1:5" ht="12.75">
      <c r="A29" s="131"/>
      <c r="B29" s="145" t="str">
        <f>'Assumptions (an)'!C26</f>
        <v>Rent Expense</v>
      </c>
      <c r="C29" s="160">
        <f>'Ledgers (an)'!H281</f>
        <v>600</v>
      </c>
      <c r="D29" s="160"/>
      <c r="E29" s="133"/>
    </row>
    <row r="30" spans="1:5" ht="13.5" thickBot="1">
      <c r="A30" s="182"/>
      <c r="B30" s="203" t="str">
        <f>'Assumptions (an)'!C27</f>
        <v>Miscellaneous Expense</v>
      </c>
      <c r="C30" s="185">
        <f>'Ledgers (an)'!H294</f>
        <v>331</v>
      </c>
      <c r="D30" s="185"/>
      <c r="E30" s="186"/>
    </row>
    <row r="31" spans="1:5" ht="14.25" thickBot="1" thickTop="1">
      <c r="A31" s="187"/>
      <c r="B31" s="188"/>
      <c r="C31" s="189">
        <f>SUM(C6:C30)</f>
        <v>63022.299999999996</v>
      </c>
      <c r="D31" s="189">
        <f>SUM(D6:D30)</f>
        <v>63022.3</v>
      </c>
      <c r="E31" s="190"/>
    </row>
    <row r="32" spans="1:7" ht="13.5" thickTop="1">
      <c r="A32" s="144"/>
      <c r="B32" s="145"/>
      <c r="C32" s="145"/>
      <c r="D32" s="145"/>
      <c r="E32" s="146"/>
      <c r="G32" s="113"/>
    </row>
    <row r="33" spans="1:5" ht="12.75">
      <c r="A33" s="131"/>
      <c r="B33" s="132"/>
      <c r="C33" s="132"/>
      <c r="D33" s="132"/>
      <c r="E33" s="133"/>
    </row>
  </sheetData>
  <printOptions horizontalCentered="1"/>
  <pageMargins left="0.75" right="0.75" top="1" bottom="1" header="0.5" footer="0.5"/>
  <pageSetup fitToHeight="0" fitToWidth="1" horizontalDpi="600" verticalDpi="600" orientation="portrait" r:id="rId1"/>
  <headerFooter alignWithMargins="0">
    <oddHeader>&amp;L&amp;F&amp;C&amp;A&amp;R&amp;D</oddHeader>
    <oddFooter>&amp;CPage &amp;P of &amp;N</oddFooter>
  </headerFooter>
</worksheet>
</file>

<file path=xl/worksheets/sheet54.xml><?xml version="1.0" encoding="utf-8"?>
<worksheet xmlns="http://schemas.openxmlformats.org/spreadsheetml/2006/main" xmlns:r="http://schemas.openxmlformats.org/officeDocument/2006/relationships">
  <sheetPr>
    <tabColor indexed="12"/>
    <pageSetUpPr fitToPage="1"/>
  </sheetPr>
  <dimension ref="A1:F31"/>
  <sheetViews>
    <sheetView showGridLines="0" zoomScale="70" zoomScaleNormal="70" workbookViewId="0" topLeftCell="A1">
      <selection activeCell="D29" sqref="D29:F30"/>
    </sheetView>
  </sheetViews>
  <sheetFormatPr defaultColWidth="9.140625" defaultRowHeight="12.75"/>
  <cols>
    <col min="1" max="1" width="2.8515625" style="0" customWidth="1"/>
    <col min="2" max="2" width="43.00390625" style="0" customWidth="1"/>
    <col min="3" max="3" width="9.57421875" style="0" bestFit="1" customWidth="1"/>
    <col min="4" max="4" width="2.8515625" style="0" customWidth="1"/>
    <col min="6" max="6" width="10.28125" style="0" bestFit="1" customWidth="1"/>
  </cols>
  <sheetData>
    <row r="1" spans="1:4" ht="13.5" thickBot="1">
      <c r="A1" s="204" t="str">
        <f>'Assumptions (an)'!$G$38</f>
        <v>Jay Hammonds Auto Supply</v>
      </c>
      <c r="B1" s="204"/>
      <c r="C1" s="204"/>
      <c r="D1" s="204"/>
    </row>
    <row r="2" spans="1:4" ht="13.5" thickBot="1">
      <c r="A2" s="204" t="s">
        <v>235</v>
      </c>
      <c r="B2" s="204"/>
      <c r="C2" s="204"/>
      <c r="D2" s="204"/>
    </row>
    <row r="3" spans="1:4" ht="13.5" thickBot="1">
      <c r="A3" s="204" t="str">
        <f>TEXT('Assumptions (an)'!$G$30,"mmmm d, yyyy")</f>
        <v>January 31, 2006</v>
      </c>
      <c r="B3" s="204"/>
      <c r="C3" s="204"/>
      <c r="D3" s="204"/>
    </row>
    <row r="4" ht="13.5" thickBot="1"/>
    <row r="5" spans="1:4" ht="14.25" thickBot="1" thickTop="1">
      <c r="A5" s="139"/>
      <c r="B5" s="141" t="s">
        <v>212</v>
      </c>
      <c r="C5" s="165" t="s">
        <v>152</v>
      </c>
      <c r="D5" s="143"/>
    </row>
    <row r="6" spans="1:4" ht="13.5" thickTop="1">
      <c r="A6" s="144"/>
      <c r="B6" s="145" t="str">
        <f>'Assumptions (an)'!H54</f>
        <v>Bryan Supply</v>
      </c>
      <c r="C6" s="166">
        <f>'AR Ledgers (an)'!H6</f>
        <v>1940</v>
      </c>
      <c r="D6" s="146"/>
    </row>
    <row r="7" spans="1:4" ht="12.75">
      <c r="A7" s="131"/>
      <c r="B7" s="145" t="str">
        <f>'Assumptions (an)'!H55</f>
        <v>English and Cole</v>
      </c>
      <c r="C7" s="160">
        <f>'AR Ledgers (an)'!H19</f>
        <v>890</v>
      </c>
      <c r="D7" s="133"/>
    </row>
    <row r="8" spans="1:4" ht="12.75">
      <c r="A8" s="131"/>
      <c r="B8" s="145" t="str">
        <f>'Assumptions (an)'!H56</f>
        <v>L. Parker</v>
      </c>
      <c r="C8" s="160">
        <f>'AR Ledgers (an)'!H33</f>
        <v>700</v>
      </c>
      <c r="D8" s="133"/>
    </row>
    <row r="9" spans="1:4" ht="12.75">
      <c r="A9" s="131"/>
      <c r="B9" s="145" t="str">
        <f>'Assumptions (an)'!H57</f>
        <v>Peterson, Inc.</v>
      </c>
      <c r="C9" s="160">
        <f>'AR Ledgers (an)'!H46</f>
        <v>0</v>
      </c>
      <c r="D9" s="133"/>
    </row>
    <row r="10" spans="1:6" ht="13.5" thickBot="1">
      <c r="A10" s="182"/>
      <c r="B10" s="203" t="str">
        <f>'Assumptions (an)'!H58</f>
        <v>Vessey Appliance</v>
      </c>
      <c r="C10" s="185">
        <f>'AR Ledgers (an)'!H60</f>
        <v>1950</v>
      </c>
      <c r="D10" s="186"/>
      <c r="F10" s="205" t="s">
        <v>237</v>
      </c>
    </row>
    <row r="11" spans="1:6" ht="14.25" thickBot="1" thickTop="1">
      <c r="A11" s="187"/>
      <c r="B11" s="188"/>
      <c r="C11" s="189">
        <f>SUM(C6:C10)</f>
        <v>5480</v>
      </c>
      <c r="D11" s="190"/>
      <c r="F11" s="110">
        <f>'Ledgers (an)'!H20</f>
        <v>5480</v>
      </c>
    </row>
    <row r="12" spans="1:4" ht="13.5" thickTop="1">
      <c r="A12" s="144"/>
      <c r="B12" s="145"/>
      <c r="C12" s="145"/>
      <c r="D12" s="146"/>
    </row>
    <row r="13" spans="1:4" ht="12.75">
      <c r="A13" s="131"/>
      <c r="B13" s="132"/>
      <c r="C13" s="132"/>
      <c r="D13" s="133"/>
    </row>
    <row r="14" spans="1:4" ht="12.75">
      <c r="A14" s="131"/>
      <c r="B14" s="132"/>
      <c r="C14" s="132"/>
      <c r="D14" s="133"/>
    </row>
    <row r="15" spans="1:4" ht="12.75">
      <c r="A15" s="131"/>
      <c r="B15" s="132"/>
      <c r="C15" s="132"/>
      <c r="D15" s="133"/>
    </row>
    <row r="17" spans="1:4" ht="13.5" thickBot="1">
      <c r="A17" s="204" t="str">
        <f>'Assumptions (an)'!$G$38</f>
        <v>Jay Hammonds Auto Supply</v>
      </c>
      <c r="B17" s="204"/>
      <c r="C17" s="204"/>
      <c r="D17" s="204"/>
    </row>
    <row r="18" spans="1:4" ht="13.5" thickBot="1">
      <c r="A18" s="204" t="s">
        <v>236</v>
      </c>
      <c r="B18" s="204"/>
      <c r="C18" s="204"/>
      <c r="D18" s="204"/>
    </row>
    <row r="19" spans="1:4" ht="13.5" thickBot="1">
      <c r="A19" s="204" t="str">
        <f>TEXT('Assumptions (an)'!$G$30,"mmmm d, yyyy")</f>
        <v>January 31, 2006</v>
      </c>
      <c r="B19" s="204"/>
      <c r="C19" s="204"/>
      <c r="D19" s="204"/>
    </row>
    <row r="20" ht="13.5" thickBot="1"/>
    <row r="21" spans="1:4" ht="14.25" thickBot="1" thickTop="1">
      <c r="A21" s="139"/>
      <c r="B21" s="141" t="s">
        <v>212</v>
      </c>
      <c r="C21" s="165" t="s">
        <v>152</v>
      </c>
      <c r="D21" s="143"/>
    </row>
    <row r="22" spans="1:4" ht="13.5" thickTop="1">
      <c r="A22" s="144"/>
      <c r="B22" s="145" t="str">
        <f>'Assumptions (an)'!J54</f>
        <v>Crosby Products</v>
      </c>
      <c r="C22" s="166">
        <f>'AP Ledgers (an)'!I7</f>
        <v>4505</v>
      </c>
      <c r="D22" s="146"/>
    </row>
    <row r="23" spans="1:4" ht="12.75">
      <c r="A23" s="131"/>
      <c r="B23" s="145" t="str">
        <f>'Assumptions (an)'!J55</f>
        <v>Duncan Office Supply</v>
      </c>
      <c r="C23" s="160">
        <f>'AP Ledgers (an)'!I19</f>
        <v>98</v>
      </c>
      <c r="D23" s="133"/>
    </row>
    <row r="24" spans="1:4" ht="12.75">
      <c r="A24" s="131"/>
      <c r="B24" s="145" t="str">
        <f>'Assumptions (an)'!J56</f>
        <v>Franklin and Son</v>
      </c>
      <c r="C24" s="160">
        <f>'AP Ledgers (an)'!I33</f>
        <v>100</v>
      </c>
      <c r="D24" s="133"/>
    </row>
    <row r="25" spans="1:6" ht="13.5" thickBot="1">
      <c r="A25" s="131"/>
      <c r="B25" s="145" t="str">
        <f>'Assumptions (an)'!J57</f>
        <v>Vaughn and Company</v>
      </c>
      <c r="C25" s="160">
        <f>'AP Ledgers (an)'!I46</f>
        <v>0</v>
      </c>
      <c r="D25" s="133"/>
      <c r="F25" s="205" t="s">
        <v>238</v>
      </c>
    </row>
    <row r="26" spans="1:6" ht="14.25" thickBot="1" thickTop="1">
      <c r="A26" s="187"/>
      <c r="B26" s="188"/>
      <c r="C26" s="189">
        <f>SUM(C22:C25)</f>
        <v>4703</v>
      </c>
      <c r="D26" s="190"/>
      <c r="F26" s="110">
        <f>'Ledgers (an)'!I81</f>
        <v>4703</v>
      </c>
    </row>
    <row r="27" spans="1:4" ht="13.5" thickTop="1">
      <c r="A27" s="131"/>
      <c r="B27" s="145"/>
      <c r="C27" s="132"/>
      <c r="D27" s="133"/>
    </row>
    <row r="28" spans="1:4" ht="12.75">
      <c r="A28" s="131"/>
      <c r="B28" s="132"/>
      <c r="C28" s="132"/>
      <c r="D28" s="133"/>
    </row>
    <row r="29" spans="1:4" ht="12.75">
      <c r="A29" s="131"/>
      <c r="B29" s="132"/>
      <c r="C29" s="132"/>
      <c r="D29" s="133"/>
    </row>
    <row r="30" spans="1:4" ht="12.75">
      <c r="A30" s="131"/>
      <c r="B30" s="132"/>
      <c r="C30" s="132"/>
      <c r="D30" s="133"/>
    </row>
    <row r="31" spans="1:4" ht="12.75">
      <c r="A31" s="131"/>
      <c r="B31" s="132"/>
      <c r="C31" s="132"/>
      <c r="D31" s="133"/>
    </row>
  </sheetData>
  <printOptions horizontalCentered="1"/>
  <pageMargins left="0.75" right="0.75" top="1" bottom="1" header="0.5" footer="0.5"/>
  <pageSetup fitToHeight="0" fitToWidth="1" horizontalDpi="600" verticalDpi="600" orientation="portrait" r:id="rId1"/>
  <headerFooter alignWithMargins="0">
    <oddHeader>&amp;L&amp;F&amp;C&amp;A&amp;R&amp;D</oddHeader>
    <oddFooter>&amp;CPage &amp;P of &amp;N</oddFooter>
  </headerFooter>
</worksheet>
</file>

<file path=xl/worksheets/sheet6.xml><?xml version="1.0" encoding="utf-8"?>
<worksheet xmlns="http://schemas.openxmlformats.org/spreadsheetml/2006/main" xmlns:r="http://schemas.openxmlformats.org/officeDocument/2006/relationships">
  <sheetPr codeName="Sheet4">
    <tabColor indexed="44"/>
  </sheetPr>
  <dimension ref="A1:H11"/>
  <sheetViews>
    <sheetView showGridLines="0" workbookViewId="0" topLeftCell="A1">
      <selection activeCell="A1" sqref="A1"/>
    </sheetView>
  </sheetViews>
  <sheetFormatPr defaultColWidth="9.140625" defaultRowHeight="12.75"/>
  <cols>
    <col min="1" max="1" width="4.00390625" style="13" bestFit="1" customWidth="1"/>
    <col min="2" max="2" width="15.8515625" style="13" bestFit="1" customWidth="1"/>
    <col min="3" max="3" width="7.57421875" style="13" bestFit="1" customWidth="1"/>
    <col min="4" max="4" width="3.00390625" style="13" bestFit="1" customWidth="1"/>
    <col min="5" max="5" width="48.00390625" style="13" bestFit="1" customWidth="1"/>
    <col min="6" max="6" width="5.421875" style="13" hidden="1" customWidth="1"/>
    <col min="7" max="8" width="7.140625" style="13" bestFit="1" customWidth="1"/>
    <col min="9" max="16384" width="9.140625" style="13" customWidth="1"/>
  </cols>
  <sheetData>
    <row r="1" spans="2:3" ht="12.75">
      <c r="B1" s="13" t="s">
        <v>87</v>
      </c>
      <c r="C1" s="99"/>
    </row>
    <row r="2" spans="1:3" ht="25.5">
      <c r="A2" s="98">
        <v>0.02</v>
      </c>
      <c r="B2" s="15" t="s">
        <v>104</v>
      </c>
      <c r="C2" s="99"/>
    </row>
    <row r="4" spans="2:3" ht="12.75">
      <c r="B4" s="13" t="s">
        <v>105</v>
      </c>
      <c r="C4" s="99"/>
    </row>
    <row r="5" spans="3:8" ht="25.5">
      <c r="C5" s="217" t="s">
        <v>17</v>
      </c>
      <c r="D5" s="217"/>
      <c r="E5" s="17" t="s">
        <v>18</v>
      </c>
      <c r="F5" s="88" t="s">
        <v>19</v>
      </c>
      <c r="G5" s="19" t="s">
        <v>20</v>
      </c>
      <c r="H5" s="19" t="s">
        <v>21</v>
      </c>
    </row>
    <row r="6" spans="3:8" ht="12.75">
      <c r="C6" s="18">
        <v>2003</v>
      </c>
      <c r="D6" s="18"/>
      <c r="E6" s="17"/>
      <c r="F6" s="17"/>
      <c r="G6" s="19"/>
      <c r="H6" s="19"/>
    </row>
    <row r="7" spans="3:8" ht="12.75">
      <c r="C7" s="18" t="s">
        <v>22</v>
      </c>
      <c r="D7" s="18">
        <v>27</v>
      </c>
      <c r="E7" s="17" t="s">
        <v>23</v>
      </c>
      <c r="F7" s="17"/>
      <c r="G7" s="100"/>
      <c r="H7" s="19"/>
    </row>
    <row r="8" spans="3:8" ht="12.75">
      <c r="C8" s="18"/>
      <c r="D8" s="18"/>
      <c r="E8" s="87" t="s">
        <v>47</v>
      </c>
      <c r="F8" s="17"/>
      <c r="G8" s="100"/>
      <c r="H8" s="19"/>
    </row>
    <row r="9" spans="3:8" ht="12.75">
      <c r="C9" s="18"/>
      <c r="D9" s="18"/>
      <c r="E9" s="86" t="s">
        <v>106</v>
      </c>
      <c r="F9" s="17"/>
      <c r="G9" s="19"/>
      <c r="H9" s="100"/>
    </row>
    <row r="10" spans="3:8" ht="12.75">
      <c r="C10" s="18"/>
      <c r="D10" s="18"/>
      <c r="E10" s="20" t="s">
        <v>107</v>
      </c>
      <c r="F10" s="17"/>
      <c r="G10" s="19"/>
      <c r="H10" s="19"/>
    </row>
    <row r="11" spans="3:8" ht="12.75">
      <c r="C11" s="18"/>
      <c r="D11" s="18"/>
      <c r="E11" s="17"/>
      <c r="F11" s="17"/>
      <c r="G11" s="19"/>
      <c r="H11" s="19"/>
    </row>
  </sheetData>
  <mergeCells count="1">
    <mergeCell ref="C5:D5"/>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indexed="11"/>
    <pageSetUpPr fitToPage="1"/>
  </sheetPr>
  <dimension ref="A8:J15"/>
  <sheetViews>
    <sheetView showGridLines="0" zoomScale="70" zoomScaleNormal="70" workbookViewId="0" topLeftCell="A1">
      <selection activeCell="A1" sqref="A1"/>
    </sheetView>
  </sheetViews>
  <sheetFormatPr defaultColWidth="9.140625" defaultRowHeight="12.75"/>
  <cols>
    <col min="1" max="1" width="19.140625" style="4" customWidth="1"/>
    <col min="2" max="2" width="12.140625" style="4" customWidth="1"/>
    <col min="3" max="7" width="11.57421875" style="4" customWidth="1"/>
    <col min="8" max="8" width="19.421875" style="4" customWidth="1"/>
    <col min="9" max="9" width="17.8515625" style="4" bestFit="1" customWidth="1"/>
    <col min="10" max="10" width="19.7109375" style="4" bestFit="1" customWidth="1"/>
    <col min="11" max="11" width="12.421875" style="4" customWidth="1"/>
    <col min="12" max="16384" width="9.140625" style="4" customWidth="1"/>
  </cols>
  <sheetData>
    <row r="8" spans="1:10" ht="63.75">
      <c r="A8" s="1" t="str">
        <f>"Invoice
amount"&amp;B9*100&amp;"/"&amp;C9&amp;", N"&amp;D9</f>
        <v>Invoice
amount2/10, N30</v>
      </c>
      <c r="B8" s="2" t="s">
        <v>0</v>
      </c>
      <c r="C8" s="1" t="s">
        <v>1</v>
      </c>
      <c r="D8" s="1" t="s">
        <v>2</v>
      </c>
      <c r="E8" s="1" t="s">
        <v>3</v>
      </c>
      <c r="F8" s="1" t="s">
        <v>4</v>
      </c>
      <c r="G8" s="1" t="str">
        <f>"They give "&amp;B9*100&amp;"%"&amp;" for
paying "&amp;F9&amp;" days
early"</f>
        <v>They give 2% for
paying 20 days
early</v>
      </c>
      <c r="H8" s="1" t="str">
        <f>"Amount you
pay "&amp;F9&amp;" days early"</f>
        <v>Amount you
pay 20 days early</v>
      </c>
      <c r="I8" s="1" t="str">
        <f>"Periods per year = "&amp;E9&amp;"/"&amp;F9</f>
        <v>Periods per year = 365/20</v>
      </c>
      <c r="J8" s="3" t="s">
        <v>112</v>
      </c>
    </row>
    <row r="9" spans="1:10" ht="12.75">
      <c r="A9" s="5">
        <v>1000</v>
      </c>
      <c r="B9" s="6">
        <v>0.02</v>
      </c>
      <c r="C9" s="7">
        <v>10</v>
      </c>
      <c r="D9" s="7">
        <v>30</v>
      </c>
      <c r="E9" s="7">
        <v>365</v>
      </c>
      <c r="F9" s="7">
        <f>D9-C9</f>
        <v>20</v>
      </c>
      <c r="G9" s="8">
        <f>A9*B9</f>
        <v>20</v>
      </c>
      <c r="H9" s="8">
        <f>A9*(1-B9)</f>
        <v>980</v>
      </c>
      <c r="I9" s="7">
        <f>E9/F9</f>
        <v>18.25</v>
      </c>
      <c r="J9" s="9">
        <f>(1+B9)^I9-1</f>
        <v>0.43533453597267946</v>
      </c>
    </row>
    <row r="11" spans="8:10" ht="51">
      <c r="H11" s="10" t="str">
        <f>"You earn "&amp;B9*100&amp;"%"&amp;" interest for paying them cash "&amp;F9&amp;" days early"</f>
        <v>You earn 2% interest for paying them cash 20 days early</v>
      </c>
      <c r="J11" s="11"/>
    </row>
    <row r="12" ht="25.5">
      <c r="H12" s="10" t="s">
        <v>5</v>
      </c>
    </row>
    <row r="13" spans="1:5" ht="12.75">
      <c r="A13" s="256" t="s">
        <v>6</v>
      </c>
      <c r="B13" s="256"/>
      <c r="C13" s="256"/>
      <c r="D13" s="256"/>
      <c r="E13" s="256"/>
    </row>
    <row r="14" spans="1:5" ht="76.5">
      <c r="A14" s="1" t="str">
        <f>"Borrow to pay invoice early
@ "&amp;B15*100&amp;"% annual rate."</f>
        <v>Borrow to pay invoice early
@ 12% annual rate.</v>
      </c>
      <c r="B14" s="1" t="s">
        <v>7</v>
      </c>
      <c r="C14" s="1" t="s">
        <v>8</v>
      </c>
      <c r="D14" s="1" t="s">
        <v>9</v>
      </c>
      <c r="E14" s="3" t="s">
        <v>10</v>
      </c>
    </row>
    <row r="15" spans="1:5" ht="12.75">
      <c r="A15" s="5">
        <f>A9</f>
        <v>1000</v>
      </c>
      <c r="B15" s="6">
        <v>0.12</v>
      </c>
      <c r="C15" s="8">
        <f>-FV(B15/E9,F9,,A15)</f>
        <v>1006.5959197191971</v>
      </c>
      <c r="D15" s="8">
        <f>C15-A15</f>
        <v>6.595919719197127</v>
      </c>
      <c r="E15" s="8">
        <f>G9-D15</f>
        <v>13.404080280802873</v>
      </c>
    </row>
  </sheetData>
  <mergeCells count="1">
    <mergeCell ref="A13:E13"/>
  </mergeCells>
  <printOptions headings="1" horizontalCentered="1"/>
  <pageMargins left="0.75" right="0.75" top="1" bottom="1" header="0.5" footer="0.5"/>
  <pageSetup fitToHeight="1" fitToWidth="1" horizontalDpi="600" verticalDpi="600" orientation="landscape" scale="70" r:id="rId2"/>
  <headerFooter alignWithMargins="0">
    <oddHeader>&amp;C&amp;F, &amp;A</oddHeader>
    <oddFooter>&amp;CFinance is Fun!</oddFooter>
  </headerFooter>
  <drawing r:id="rId1"/>
</worksheet>
</file>

<file path=xl/worksheets/sheet8.xml><?xml version="1.0" encoding="utf-8"?>
<worksheet xmlns="http://schemas.openxmlformats.org/spreadsheetml/2006/main" xmlns:r="http://schemas.openxmlformats.org/officeDocument/2006/relationships">
  <sheetPr codeName="Sheet6">
    <tabColor indexed="42"/>
  </sheetPr>
  <dimension ref="A1:F15"/>
  <sheetViews>
    <sheetView showGridLines="0" workbookViewId="0" topLeftCell="A1">
      <selection activeCell="A1" sqref="A1:B1"/>
    </sheetView>
  </sheetViews>
  <sheetFormatPr defaultColWidth="9.140625" defaultRowHeight="12.75"/>
  <cols>
    <col min="1" max="1" width="6.421875" style="13" bestFit="1" customWidth="1"/>
    <col min="2" max="2" width="3.140625" style="13" customWidth="1"/>
    <col min="3" max="3" width="48.00390625" style="13" bestFit="1" customWidth="1"/>
    <col min="4" max="4" width="5.421875" style="13" hidden="1" customWidth="1"/>
    <col min="5" max="6" width="7.28125" style="13" bestFit="1" customWidth="1"/>
    <col min="7" max="7" width="5.421875" style="13" hidden="1" customWidth="1"/>
    <col min="8" max="9" width="7.140625" style="13" bestFit="1" customWidth="1"/>
    <col min="10" max="16384" width="9.140625" style="13" customWidth="1"/>
  </cols>
  <sheetData>
    <row r="1" spans="1:6" ht="16.5" customHeight="1">
      <c r="A1" s="217" t="s">
        <v>17</v>
      </c>
      <c r="B1" s="217"/>
      <c r="C1" s="17" t="s">
        <v>18</v>
      </c>
      <c r="D1" s="84" t="s">
        <v>19</v>
      </c>
      <c r="E1" s="19" t="s">
        <v>20</v>
      </c>
      <c r="F1" s="19" t="s">
        <v>21</v>
      </c>
    </row>
    <row r="2" spans="1:6" ht="12.75">
      <c r="A2" s="85">
        <v>2001</v>
      </c>
      <c r="B2" s="18"/>
      <c r="C2" s="17"/>
      <c r="D2" s="17"/>
      <c r="E2" s="19"/>
      <c r="F2" s="19"/>
    </row>
    <row r="3" spans="1:6" ht="12.75">
      <c r="A3" s="18" t="s">
        <v>108</v>
      </c>
      <c r="B3" s="18">
        <v>15</v>
      </c>
      <c r="C3" s="17" t="s">
        <v>23</v>
      </c>
      <c r="D3" s="17"/>
      <c r="E3" s="100"/>
      <c r="F3" s="19"/>
    </row>
    <row r="4" spans="1:6" ht="12.75">
      <c r="A4" s="18"/>
      <c r="B4" s="18"/>
      <c r="C4" s="86" t="s">
        <v>109</v>
      </c>
      <c r="D4" s="17"/>
      <c r="E4" s="19"/>
      <c r="F4" s="100"/>
    </row>
    <row r="5" spans="1:6" ht="12.75">
      <c r="A5" s="18"/>
      <c r="B5" s="18"/>
      <c r="C5" s="20" t="s">
        <v>113</v>
      </c>
      <c r="D5" s="17"/>
      <c r="E5" s="19"/>
      <c r="F5" s="19"/>
    </row>
    <row r="6" spans="1:6" ht="12.75">
      <c r="A6" s="18"/>
      <c r="B6" s="18"/>
      <c r="C6" s="17"/>
      <c r="D6" s="17"/>
      <c r="E6" s="19"/>
      <c r="F6" s="19"/>
    </row>
    <row r="7" spans="1:6" ht="12.75">
      <c r="A7" s="18"/>
      <c r="B7" s="18"/>
      <c r="C7" s="17"/>
      <c r="D7" s="17"/>
      <c r="E7" s="19"/>
      <c r="F7" s="19"/>
    </row>
    <row r="9" spans="1:6" ht="22.5">
      <c r="A9" s="217" t="s">
        <v>17</v>
      </c>
      <c r="B9" s="217"/>
      <c r="C9" s="17" t="s">
        <v>18</v>
      </c>
      <c r="D9" s="84" t="s">
        <v>19</v>
      </c>
      <c r="E9" s="19" t="s">
        <v>20</v>
      </c>
      <c r="F9" s="19" t="s">
        <v>21</v>
      </c>
    </row>
    <row r="10" spans="1:6" ht="12.75">
      <c r="A10" s="85">
        <v>2002</v>
      </c>
      <c r="B10" s="18"/>
      <c r="C10" s="17"/>
      <c r="D10" s="17"/>
      <c r="E10" s="19"/>
      <c r="F10" s="19"/>
    </row>
    <row r="11" spans="1:6" ht="12.75">
      <c r="A11" s="18" t="s">
        <v>108</v>
      </c>
      <c r="B11" s="18">
        <v>15</v>
      </c>
      <c r="C11" s="17" t="s">
        <v>109</v>
      </c>
      <c r="D11" s="17"/>
      <c r="E11" s="100"/>
      <c r="F11" s="19"/>
    </row>
    <row r="12" spans="1:6" ht="12.75">
      <c r="A12" s="18"/>
      <c r="B12" s="18"/>
      <c r="C12" s="87" t="s">
        <v>110</v>
      </c>
      <c r="D12" s="17"/>
      <c r="E12" s="100"/>
      <c r="F12" s="19"/>
    </row>
    <row r="13" spans="1:6" ht="12.75">
      <c r="A13" s="18"/>
      <c r="B13" s="18"/>
      <c r="C13" s="86" t="s">
        <v>23</v>
      </c>
      <c r="D13" s="17"/>
      <c r="E13" s="19"/>
      <c r="F13" s="100"/>
    </row>
    <row r="14" spans="1:6" ht="12.75">
      <c r="A14" s="18"/>
      <c r="B14" s="18"/>
      <c r="C14" s="20" t="s">
        <v>111</v>
      </c>
      <c r="D14" s="17"/>
      <c r="E14" s="19"/>
      <c r="F14" s="19"/>
    </row>
    <row r="15" spans="1:6" ht="12.75">
      <c r="A15" s="18"/>
      <c r="B15" s="18"/>
      <c r="C15" s="17"/>
      <c r="D15" s="17"/>
      <c r="E15" s="19"/>
      <c r="F15" s="19"/>
    </row>
  </sheetData>
  <mergeCells count="2">
    <mergeCell ref="A9:B9"/>
    <mergeCell ref="A1:B1"/>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indexed="8"/>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Family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Family</dc:creator>
  <cp:keywords/>
  <dc:description/>
  <cp:lastModifiedBy>MGIRVIN</cp:lastModifiedBy>
  <cp:lastPrinted>2006-11-16T20:50:14Z</cp:lastPrinted>
  <dcterms:created xsi:type="dcterms:W3CDTF">2006-11-06T21:07:52Z</dcterms:created>
  <dcterms:modified xsi:type="dcterms:W3CDTF">2006-11-16T20:50:51Z</dcterms:modified>
  <cp:category/>
  <cp:version/>
  <cp:contentType/>
  <cp:contentStatus/>
</cp:coreProperties>
</file>