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60" windowWidth="15168" windowHeight="8304"/>
  </bookViews>
  <sheets>
    <sheet name="Topics" sheetId="1" r:id="rId1"/>
    <sheet name="V or H" sheetId="2" r:id="rId2"/>
    <sheet name="L Adding" sheetId="3" r:id="rId3"/>
    <sheet name="Array" sheetId="10" r:id="rId4"/>
    <sheet name="LOOKUP LAST" sheetId="5" r:id="rId5"/>
    <sheet name="Lookup within TextString" sheetId="6" r:id="rId6"/>
    <sheet name="3 L" sheetId="4" r:id="rId7"/>
    <sheet name="Crazy Array" sheetId="7" r:id="rId8"/>
    <sheet name="CF" sheetId="8" r:id="rId9"/>
  </sheets>
  <definedNames>
    <definedName name="_xlnm._FilterDatabase" localSheetId="3" hidden="1">Array!$D$4:$D$14</definedName>
    <definedName name="_xlnm._FilterDatabase" localSheetId="2" hidden="1">'L Adding'!$D$49:$D$59</definedName>
    <definedName name="_xlnm._FilterDatabase" localSheetId="4" hidden="1">'LOOKUP LAST'!$A$36:$A$56</definedName>
    <definedName name="_xlnm.Extract" localSheetId="3">Array!$O$4</definedName>
    <definedName name="_xlnm.Extract" localSheetId="2">'L Adding'!$O$49</definedName>
    <definedName name="_xlnm.Extract" localSheetId="4">'LOOKUP LAST'!$J$35</definedName>
  </definedNames>
  <calcPr calcId="145621"/>
</workbook>
</file>

<file path=xl/calcChain.xml><?xml version="1.0" encoding="utf-8"?>
<calcChain xmlns="http://schemas.openxmlformats.org/spreadsheetml/2006/main">
  <c r="B40" i="3" l="1"/>
  <c r="E59" i="2"/>
  <c r="C46" i="2"/>
  <c r="D46" i="2"/>
  <c r="E46" i="2"/>
  <c r="B46" i="2"/>
  <c r="E31" i="2"/>
  <c r="F3" i="8"/>
  <c r="G3" i="8"/>
  <c r="H3" i="8"/>
  <c r="I3" i="8"/>
  <c r="F4" i="8"/>
  <c r="G4" i="8"/>
  <c r="H4" i="8"/>
  <c r="I4" i="8"/>
  <c r="F5" i="8"/>
  <c r="G5" i="8"/>
  <c r="H5" i="8"/>
  <c r="I5" i="8"/>
  <c r="F6" i="8"/>
  <c r="G6" i="8"/>
  <c r="H6" i="8"/>
  <c r="I6" i="8"/>
  <c r="F7" i="8"/>
  <c r="G7" i="8"/>
  <c r="H7" i="8"/>
  <c r="I7" i="8"/>
  <c r="B3" i="4"/>
  <c r="C3" i="4"/>
  <c r="B21" i="6"/>
  <c r="B22" i="6"/>
  <c r="B23" i="6"/>
  <c r="B24" i="6"/>
  <c r="B20" i="6"/>
  <c r="B5" i="6"/>
  <c r="B6" i="6"/>
  <c r="B7" i="6"/>
  <c r="B8" i="6"/>
  <c r="B4" i="6"/>
  <c r="B34" i="5"/>
  <c r="A29" i="5"/>
  <c r="D12" i="5"/>
  <c r="D3" i="5"/>
  <c r="C3" i="5"/>
  <c r="B17" i="5"/>
  <c r="B18" i="5"/>
  <c r="B3" i="5" s="1"/>
  <c r="A3" i="5"/>
  <c r="F10" i="10"/>
  <c r="F8" i="10"/>
  <c r="B44" i="3"/>
  <c r="B41" i="3"/>
  <c r="B42" i="3"/>
  <c r="B43" i="3"/>
  <c r="D44" i="3" l="1"/>
  <c r="D41" i="3"/>
  <c r="D42" i="3"/>
  <c r="D43" i="3"/>
  <c r="D40" i="3"/>
  <c r="B20" i="3"/>
  <c r="E15" i="3"/>
  <c r="E14" i="3"/>
  <c r="E13" i="3"/>
  <c r="E12" i="3"/>
  <c r="E11" i="3"/>
  <c r="E10" i="3"/>
  <c r="E9" i="3"/>
  <c r="E8" i="3"/>
  <c r="E7" i="3"/>
  <c r="E6" i="3"/>
  <c r="E5" i="3"/>
  <c r="E4" i="3"/>
  <c r="E17" i="3"/>
  <c r="E16" i="3"/>
  <c r="D17" i="3"/>
  <c r="D5" i="3"/>
  <c r="D6" i="3"/>
  <c r="D7" i="3"/>
  <c r="D8" i="3"/>
  <c r="D9" i="3"/>
  <c r="D10" i="3"/>
  <c r="D11" i="3"/>
  <c r="D12" i="3"/>
  <c r="D13" i="3"/>
  <c r="D14" i="3"/>
  <c r="D15" i="3"/>
  <c r="D16" i="3"/>
  <c r="D4" i="3"/>
  <c r="E28" i="2"/>
  <c r="B7" i="2"/>
  <c r="E7" i="8" l="1"/>
  <c r="D7" i="8"/>
  <c r="C7" i="8"/>
  <c r="B7" i="8"/>
  <c r="E6" i="8"/>
  <c r="D6" i="8"/>
  <c r="C6" i="8"/>
  <c r="B6" i="8"/>
  <c r="E5" i="8"/>
  <c r="D5" i="8"/>
  <c r="C5" i="8"/>
  <c r="B5" i="8"/>
  <c r="E4" i="8"/>
  <c r="D4" i="8"/>
  <c r="C4" i="8"/>
  <c r="B4" i="8"/>
  <c r="E3" i="8"/>
  <c r="D3" i="8"/>
  <c r="C3" i="8"/>
  <c r="B3" i="8"/>
  <c r="B15" i="7"/>
  <c r="B14" i="7"/>
  <c r="C10" i="7"/>
  <c r="C9" i="7"/>
  <c r="C8" i="7"/>
  <c r="C7" i="7"/>
  <c r="C6" i="7"/>
  <c r="C12" i="7" s="1"/>
  <c r="C5" i="7"/>
  <c r="B12" i="7" s="1"/>
  <c r="C4" i="7"/>
  <c r="C3" i="7"/>
  <c r="C2" i="7"/>
  <c r="A14" i="6" l="1"/>
  <c r="B13" i="6"/>
  <c r="B12" i="6"/>
  <c r="C17" i="5"/>
  <c r="C9" i="4" l="1"/>
  <c r="C10" i="4" s="1"/>
  <c r="C11" i="4" s="1"/>
  <c r="C12" i="4" s="1"/>
  <c r="C13" i="4" l="1"/>
  <c r="B4" i="4"/>
  <c r="D43" i="2"/>
  <c r="D42" i="2"/>
  <c r="D41" i="2"/>
  <c r="D40" i="2"/>
  <c r="D39" i="2"/>
  <c r="D38" i="2"/>
  <c r="D37" i="2"/>
  <c r="J21" i="2"/>
  <c r="J20" i="2"/>
  <c r="J23" i="2"/>
  <c r="J25" i="2"/>
  <c r="J19" i="2"/>
  <c r="J24" i="2"/>
  <c r="J22" i="2"/>
  <c r="D25" i="2"/>
  <c r="D24" i="2"/>
  <c r="D23" i="2"/>
  <c r="D22" i="2"/>
  <c r="D21" i="2"/>
  <c r="D20" i="2"/>
  <c r="D19" i="2"/>
  <c r="A10" i="2" l="1"/>
  <c r="B10" i="2" s="1"/>
</calcChain>
</file>

<file path=xl/sharedStrings.xml><?xml version="1.0" encoding="utf-8"?>
<sst xmlns="http://schemas.openxmlformats.org/spreadsheetml/2006/main" count="369" uniqueCount="160">
  <si>
    <t>Approximate Match only</t>
  </si>
  <si>
    <t>Table taller or equal to width, does vertical lookup</t>
  </si>
  <si>
    <t>Table wider than tall, does horizontal lookup</t>
  </si>
  <si>
    <t>If you sort your column you can trick it into doing Exact Match</t>
  </si>
  <si>
    <t>Has lookup range argument and a separate range with values you would like to retrieve values from</t>
  </si>
  <si>
    <t>LOOKUP can handle array formula elements with having to use Ctrl + Shift + Enter</t>
  </si>
  <si>
    <t>Income</t>
  </si>
  <si>
    <t>Marginal Tax Rate</t>
  </si>
  <si>
    <t>Retrieve Records</t>
  </si>
  <si>
    <t>Always takes last value from last column</t>
  </si>
  <si>
    <t>ID</t>
  </si>
  <si>
    <t>Last</t>
  </si>
  <si>
    <t>First</t>
  </si>
  <si>
    <t>E-mail</t>
  </si>
  <si>
    <t>Phone</t>
  </si>
  <si>
    <t>Leff</t>
  </si>
  <si>
    <t>Julianne</t>
  </si>
  <si>
    <t>253-559-4034</t>
  </si>
  <si>
    <t>Piano</t>
  </si>
  <si>
    <t>Milagros</t>
  </si>
  <si>
    <t>253-553-4381</t>
  </si>
  <si>
    <t>Coller</t>
  </si>
  <si>
    <t>Kathrine</t>
  </si>
  <si>
    <t>206-762-2195</t>
  </si>
  <si>
    <t>Stackpole</t>
  </si>
  <si>
    <t>Lonnie</t>
  </si>
  <si>
    <t>253-764-6538</t>
  </si>
  <si>
    <t>Lintz</t>
  </si>
  <si>
    <t>Kurt</t>
  </si>
  <si>
    <t>206-736-4510</t>
  </si>
  <si>
    <t>Dudgeon</t>
  </si>
  <si>
    <t>Penelope</t>
  </si>
  <si>
    <t>253-452-9723</t>
  </si>
  <si>
    <t>Hughs</t>
  </si>
  <si>
    <t>Pearlie</t>
  </si>
  <si>
    <t>253-719-7600</t>
  </si>
  <si>
    <t>880-10054</t>
  </si>
  <si>
    <t>880-10053</t>
  </si>
  <si>
    <t>880-10052</t>
  </si>
  <si>
    <t>880-10051</t>
  </si>
  <si>
    <t>880-10050</t>
  </si>
  <si>
    <t>880-10049</t>
  </si>
  <si>
    <t>880-10048</t>
  </si>
  <si>
    <t>Lookup Adding</t>
  </si>
  <si>
    <t>Invoice</t>
  </si>
  <si>
    <t>SalesRep</t>
  </si>
  <si>
    <t>Sales</t>
  </si>
  <si>
    <t>Commission Table</t>
  </si>
  <si>
    <t>Sales Hurdle</t>
  </si>
  <si>
    <t>Amount of Bonus</t>
  </si>
  <si>
    <t>Jo</t>
  </si>
  <si>
    <t>Mo</t>
  </si>
  <si>
    <t>Sioux</t>
  </si>
  <si>
    <t>Chin</t>
  </si>
  <si>
    <t>Commission</t>
  </si>
  <si>
    <t>Total Commission</t>
  </si>
  <si>
    <t>LOOKUP</t>
  </si>
  <si>
    <t>LOOKUP as easier substitute for VLOOKUP</t>
  </si>
  <si>
    <t>commission for each sale</t>
  </si>
  <si>
    <t>VLOOKUP</t>
  </si>
  <si>
    <t>Total</t>
  </si>
  <si>
    <t>Check</t>
  </si>
  <si>
    <t>3 LOOKUPS in one formula</t>
  </si>
  <si>
    <t>Commission Paid</t>
  </si>
  <si>
    <t>Rate</t>
  </si>
  <si>
    <t>Commission from Previous Bracket</t>
  </si>
  <si>
    <t>Name</t>
  </si>
  <si>
    <t>LOOKUP can handle arrays when delivering a single value, and will not require Ctrl + Shift + Enter</t>
  </si>
  <si>
    <t>Date</t>
  </si>
  <si>
    <t>Sales Rep</t>
  </si>
  <si>
    <t>City</t>
  </si>
  <si>
    <t>Client</t>
  </si>
  <si>
    <t>Phil</t>
  </si>
  <si>
    <t>Pham</t>
  </si>
  <si>
    <t>Shelia</t>
  </si>
  <si>
    <t>Chip</t>
  </si>
  <si>
    <t>Seattle</t>
  </si>
  <si>
    <t>Tacoma</t>
  </si>
  <si>
    <t>N. Bend</t>
  </si>
  <si>
    <t>D.M.</t>
  </si>
  <si>
    <t>Burien</t>
  </si>
  <si>
    <t>ALH</t>
  </si>
  <si>
    <t>LOOKUP Left with two criteria</t>
  </si>
  <si>
    <t>FM</t>
  </si>
  <si>
    <t>QFC</t>
  </si>
  <si>
    <t>PCC</t>
  </si>
  <si>
    <t>SW</t>
  </si>
  <si>
    <t>Lookup Last Value</t>
  </si>
  <si>
    <t>Lookup Last Text String Including Blanks From Formulas</t>
  </si>
  <si>
    <t>? Is wild card for a single character</t>
  </si>
  <si>
    <t>Lookup Last Text String Excluding Blanks From Formulas</t>
  </si>
  <si>
    <t>Lookup Last Item (Text or Number)</t>
  </si>
  <si>
    <t>Numbers Only</t>
  </si>
  <si>
    <t>Words Only</t>
  </si>
  <si>
    <t>Text Or Numbers</t>
  </si>
  <si>
    <t>love</t>
  </si>
  <si>
    <t>rad</t>
  </si>
  <si>
    <t>fun</t>
  </si>
  <si>
    <t>Excel</t>
  </si>
  <si>
    <t>ddd</t>
  </si>
  <si>
    <t>Excel 2010</t>
  </si>
  <si>
    <t>Excel 2011</t>
  </si>
  <si>
    <t xml:space="preserve"> =REPT("!",2^15)</t>
  </si>
  <si>
    <t xml:space="preserve"> =REPT("!",2^15-1)</t>
  </si>
  <si>
    <t>SEARCH locates one text string within a second text string, and returns the number of the starting position of the first text string from the first character of the second text string. SEARCH function is not case sensitive like FIND.</t>
  </si>
  <si>
    <t>Description</t>
  </si>
  <si>
    <t>24" 2.6 cu ft., Portable Top Load Washer, Stainless Steel Wash Tub, I-Sensor, 9 Wash Cycles, 7 Waster Level. </t>
  </si>
  <si>
    <t>HE Top Load Washer, 5.2 cu. ft, Stainless Steel Wash Tub, Wave force, VCM,</t>
  </si>
  <si>
    <t>Coldwash, 6 motion</t>
  </si>
  <si>
    <t>4.0 cu.ft., 1100rpm, None Heater, Direct Drive, Painted Top Plate, 7 Washer Cycles, Front Console design (Neo Pro)</t>
  </si>
  <si>
    <t>Front Load, 4.3 cu.ft., 1150 rpm, Non Heater, Direct Drive, Painted Top Plate, 7 Washer Cycles, Front Console design, Truebalance,  6 Motion, Smart Diagnosis™,</t>
  </si>
  <si>
    <t>Find word in text string and extract it, otherwsie Blank</t>
  </si>
  <si>
    <t>Period</t>
  </si>
  <si>
    <t>Cash Flow For NPV</t>
  </si>
  <si>
    <t>Cumulative CF for Payback</t>
  </si>
  <si>
    <t>Barry Houdini at the Mr Excel Message Board came up with this Gem</t>
  </si>
  <si>
    <t>Payback</t>
  </si>
  <si>
    <t>RRR</t>
  </si>
  <si>
    <t>NPV</t>
  </si>
  <si>
    <t>IRR</t>
  </si>
  <si>
    <t>Commission Paid: 3 LOOKUPS in one formula</t>
  </si>
  <si>
    <t>Conditional Formatting</t>
  </si>
  <si>
    <t>Allowances</t>
  </si>
  <si>
    <t>Lookup Adding with Criteria, with array in lookup value argument</t>
  </si>
  <si>
    <t>&lt;&gt; means not
"" means empty or null text string</t>
  </si>
  <si>
    <t>Names</t>
  </si>
  <si>
    <t>Day 1</t>
  </si>
  <si>
    <t>Day 2</t>
  </si>
  <si>
    <t>Day 3</t>
  </si>
  <si>
    <t>Day 4</t>
  </si>
  <si>
    <t>Last with criteria</t>
  </si>
  <si>
    <t>Trade</t>
  </si>
  <si>
    <t>Last Trade Entered On Specific Date</t>
  </si>
  <si>
    <t>MSFT</t>
  </si>
  <si>
    <t>XOM</t>
  </si>
  <si>
    <t>WFMI</t>
  </si>
  <si>
    <t>GOOG</t>
  </si>
  <si>
    <t>C</t>
  </si>
  <si>
    <t>Last Value From Specified Row</t>
  </si>
  <si>
    <t>Finance Payback Rule</t>
  </si>
  <si>
    <t>Top Load or Front Load</t>
  </si>
  <si>
    <t>Company</t>
  </si>
  <si>
    <t>Code</t>
  </si>
  <si>
    <t>Microsoft</t>
  </si>
  <si>
    <t>Google</t>
  </si>
  <si>
    <t xml:space="preserve">Microsoft Multiplan: of Mice and Men </t>
  </si>
  <si>
    <t>The elements of Spreadhseet Style</t>
  </si>
  <si>
    <t>VisiCalc</t>
  </si>
  <si>
    <t>Lotus</t>
  </si>
  <si>
    <t>Titles</t>
  </si>
  <si>
    <t>Using Lotus 1-2-3</t>
  </si>
  <si>
    <t>Doing Business with VisiCalc</t>
  </si>
  <si>
    <t>Don't be Evil, Google</t>
  </si>
  <si>
    <t>Exactly same rows and columns, LOOKUP does Vertical lookup:</t>
  </si>
  <si>
    <t>Cat</t>
  </si>
  <si>
    <t>Low</t>
  </si>
  <si>
    <t>High</t>
  </si>
  <si>
    <t xml:space="preserve"> --</t>
  </si>
  <si>
    <t>Has lookup range argument and a separate range with values you would like to retrieve values from: Retrieve Records</t>
  </si>
  <si>
    <t>Lookup multiple sub-text-strings within text string and return a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</si>
</sst>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b/>
      <sz val="10"/>
      <color rgb="FF000000"/>
      <name val="Arial"/>
      <family val="2"/>
    </font>
  </fonts>
  <fills count="12">
    <fill>
      <patternFill patternType="none"/>
    </fill>
    <fill>
      <patternFill patternType="gray125"/>
    </fill>
    <fill>
      <patternFill patternType="solid">
        <fgColor rgb="FF002060"/>
        <bgColor indexed="64"/>
      </patternFill>
    </fill>
    <fill>
      <patternFill patternType="solid">
        <fgColor rgb="FFCCFFCC"/>
        <bgColor indexed="64"/>
      </patternFill>
    </fill>
    <fill>
      <patternFill patternType="solid">
        <fgColor rgb="FFFFFF00"/>
        <bgColor indexed="64"/>
      </patternFill>
    </fill>
    <fill>
      <patternFill patternType="solid">
        <fgColor theme="1"/>
        <bgColor indexed="64"/>
      </patternFill>
    </fill>
    <fill>
      <patternFill patternType="solid">
        <fgColor rgb="FF0070C0"/>
        <bgColor indexed="64"/>
      </patternFill>
    </fill>
    <fill>
      <patternFill patternType="solid">
        <fgColor rgb="FFFFFFCC"/>
        <bgColor indexed="64"/>
      </patternFill>
    </fill>
    <fill>
      <patternFill patternType="solid">
        <fgColor rgb="FFFFFF99"/>
        <bgColor indexed="64"/>
      </patternFill>
    </fill>
    <fill>
      <patternFill patternType="solid">
        <fgColor rgb="FFDCE6F1"/>
        <bgColor indexed="64"/>
      </patternFill>
    </fill>
    <fill>
      <patternFill patternType="solid">
        <fgColor rgb="FF0000FF"/>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9">
    <xf numFmtId="0" fontId="0" fillId="0" borderId="0" xfId="0"/>
    <xf numFmtId="0" fontId="0" fillId="0" borderId="1" xfId="0" applyBorder="1"/>
    <xf numFmtId="10" fontId="0" fillId="0" borderId="1" xfId="1" applyNumberFormat="1" applyFont="1" applyBorder="1"/>
    <xf numFmtId="0" fontId="3" fillId="2" borderId="1" xfId="0" applyFont="1" applyFill="1" applyBorder="1"/>
    <xf numFmtId="0" fontId="0" fillId="3" borderId="1" xfId="0" applyFill="1" applyBorder="1"/>
    <xf numFmtId="8" fontId="0" fillId="0" borderId="1" xfId="0" applyNumberFormat="1" applyBorder="1"/>
    <xf numFmtId="0" fontId="0" fillId="0" borderId="0" xfId="0" applyBorder="1"/>
    <xf numFmtId="0" fontId="3" fillId="2" borderId="1" xfId="0" applyFont="1" applyFill="1" applyBorder="1" applyAlignment="1">
      <alignment wrapText="1"/>
    </xf>
    <xf numFmtId="0" fontId="2" fillId="0" borderId="0" xfId="0" applyFont="1"/>
    <xf numFmtId="0" fontId="2" fillId="0" borderId="1" xfId="0" applyFont="1" applyBorder="1"/>
    <xf numFmtId="0" fontId="0" fillId="0" borderId="3" xfId="0" applyBorder="1"/>
    <xf numFmtId="0" fontId="0" fillId="3" borderId="4" xfId="0" applyFill="1" applyBorder="1"/>
    <xf numFmtId="0" fontId="0" fillId="3" borderId="3" xfId="0" applyFill="1" applyBorder="1"/>
    <xf numFmtId="0" fontId="0" fillId="4" borderId="5" xfId="0" applyFill="1" applyBorder="1"/>
    <xf numFmtId="0" fontId="0" fillId="4" borderId="2" xfId="0" applyFill="1" applyBorder="1"/>
    <xf numFmtId="0" fontId="0" fillId="3" borderId="6" xfId="0" applyFill="1" applyBorder="1"/>
    <xf numFmtId="8" fontId="0" fillId="3" borderId="1" xfId="0" applyNumberFormat="1" applyFill="1" applyBorder="1"/>
    <xf numFmtId="6" fontId="0" fillId="0" borderId="1" xfId="0" applyNumberFormat="1" applyBorder="1"/>
    <xf numFmtId="0" fontId="0" fillId="0" borderId="5" xfId="0" applyBorder="1"/>
    <xf numFmtId="0" fontId="3" fillId="2" borderId="7" xfId="0" applyFont="1" applyFill="1" applyBorder="1"/>
    <xf numFmtId="0" fontId="3" fillId="5" borderId="1" xfId="0" applyFont="1" applyFill="1" applyBorder="1" applyAlignment="1">
      <alignment horizontal="centerContinuous" wrapText="1"/>
    </xf>
    <xf numFmtId="0" fontId="0" fillId="4" borderId="1" xfId="0" applyFill="1" applyBorder="1"/>
    <xf numFmtId="8" fontId="0" fillId="0" borderId="1" xfId="0" applyNumberFormat="1" applyFill="1" applyBorder="1"/>
    <xf numFmtId="0" fontId="3" fillId="2" borderId="1" xfId="0" applyFont="1" applyFill="1" applyBorder="1" applyAlignment="1">
      <alignment horizontal="centerContinuous" wrapText="1"/>
    </xf>
    <xf numFmtId="0" fontId="3" fillId="6" borderId="1" xfId="0" applyFont="1" applyFill="1" applyBorder="1" applyAlignment="1">
      <alignment wrapText="1"/>
    </xf>
    <xf numFmtId="10" fontId="0" fillId="0" borderId="1" xfId="0" applyNumberFormat="1" applyBorder="1"/>
    <xf numFmtId="14" fontId="0" fillId="0" borderId="0" xfId="0" applyNumberFormat="1"/>
    <xf numFmtId="14" fontId="0" fillId="0" borderId="1" xfId="0" applyNumberFormat="1" applyBorder="1"/>
    <xf numFmtId="0" fontId="0" fillId="7" borderId="1" xfId="0" applyFill="1" applyBorder="1" applyAlignment="1">
      <alignment wrapText="1"/>
    </xf>
    <xf numFmtId="0" fontId="3" fillId="2" borderId="5" xfId="0" applyFont="1" applyFill="1" applyBorder="1" applyAlignment="1">
      <alignment horizontal="centerContinuous" wrapText="1"/>
    </xf>
    <xf numFmtId="0" fontId="0" fillId="0" borderId="0" xfId="0" applyAlignment="1">
      <alignment horizontal="right"/>
    </xf>
    <xf numFmtId="0" fontId="0" fillId="8" borderId="5" xfId="0" applyFill="1" applyBorder="1" applyAlignment="1">
      <alignment horizontal="centerContinuous" wrapText="1"/>
    </xf>
    <xf numFmtId="0" fontId="0" fillId="8" borderId="8" xfId="0" applyFill="1" applyBorder="1" applyAlignment="1">
      <alignment horizontal="centerContinuous" wrapText="1"/>
    </xf>
    <xf numFmtId="0" fontId="0" fillId="8" borderId="2" xfId="0" applyFill="1" applyBorder="1" applyAlignment="1">
      <alignment horizontal="centerContinuous" wrapText="1"/>
    </xf>
    <xf numFmtId="0" fontId="5" fillId="9" borderId="0" xfId="0" applyFont="1" applyFill="1" applyAlignment="1">
      <alignment vertical="center"/>
    </xf>
    <xf numFmtId="0" fontId="5" fillId="9" borderId="9" xfId="0" applyFont="1" applyFill="1" applyBorder="1" applyAlignment="1">
      <alignment vertical="center"/>
    </xf>
    <xf numFmtId="0" fontId="0" fillId="0" borderId="1" xfId="0" applyBorder="1" applyAlignment="1">
      <alignment wrapText="1"/>
    </xf>
    <xf numFmtId="0" fontId="3" fillId="2" borderId="10" xfId="0" applyFont="1" applyFill="1" applyBorder="1" applyAlignment="1">
      <alignment wrapText="1"/>
    </xf>
    <xf numFmtId="0" fontId="0" fillId="0" borderId="1" xfId="3" applyNumberFormat="1" applyFont="1" applyBorder="1"/>
    <xf numFmtId="44" fontId="0" fillId="3" borderId="1" xfId="3" applyFont="1" applyFill="1" applyBorder="1"/>
    <xf numFmtId="43" fontId="0" fillId="3" borderId="1" xfId="2" applyFont="1" applyFill="1" applyBorder="1"/>
    <xf numFmtId="2" fontId="0" fillId="3" borderId="1" xfId="0" applyNumberFormat="1" applyFill="1" applyBorder="1"/>
    <xf numFmtId="44" fontId="0" fillId="0" borderId="0" xfId="0" applyNumberFormat="1"/>
    <xf numFmtId="164" fontId="0" fillId="3" borderId="1" xfId="0" applyNumberFormat="1" applyFill="1" applyBorder="1"/>
    <xf numFmtId="10" fontId="0" fillId="0" borderId="0" xfId="0" applyNumberFormat="1"/>
    <xf numFmtId="10" fontId="0" fillId="3" borderId="1" xfId="0" applyNumberFormat="1" applyFill="1" applyBorder="1"/>
    <xf numFmtId="0" fontId="3" fillId="2" borderId="8" xfId="0" applyFont="1" applyFill="1" applyBorder="1" applyAlignment="1">
      <alignment horizontal="centerContinuous" wrapText="1"/>
    </xf>
    <xf numFmtId="0" fontId="3" fillId="2" borderId="2" xfId="0" applyFont="1" applyFill="1" applyBorder="1" applyAlignment="1">
      <alignment horizontal="centerContinuous" wrapText="1"/>
    </xf>
    <xf numFmtId="0" fontId="3" fillId="10" borderId="1" xfId="0" applyFont="1" applyFill="1" applyBorder="1"/>
    <xf numFmtId="6" fontId="3" fillId="10" borderId="1" xfId="0" applyNumberFormat="1" applyFont="1" applyFill="1" applyBorder="1"/>
    <xf numFmtId="0" fontId="3" fillId="2" borderId="1" xfId="0" applyFont="1" applyFill="1" applyBorder="1" applyAlignment="1">
      <alignment horizontal="left" wrapText="1"/>
    </xf>
    <xf numFmtId="0" fontId="3" fillId="2" borderId="1" xfId="0" applyFont="1" applyFill="1" applyBorder="1" applyAlignment="1">
      <alignment horizontal="left"/>
    </xf>
    <xf numFmtId="0" fontId="0" fillId="11" borderId="1" xfId="0" applyFill="1" applyBorder="1"/>
    <xf numFmtId="0" fontId="0" fillId="0" borderId="1" xfId="0" applyFont="1" applyBorder="1"/>
    <xf numFmtId="0" fontId="0" fillId="0" borderId="10" xfId="0" applyBorder="1"/>
    <xf numFmtId="0" fontId="0" fillId="0" borderId="1" xfId="0" applyNumberFormat="1" applyBorder="1"/>
    <xf numFmtId="0" fontId="0" fillId="3" borderId="1" xfId="0" applyNumberFormat="1" applyFill="1" applyBorder="1"/>
    <xf numFmtId="0" fontId="4" fillId="2" borderId="1" xfId="0" applyFont="1" applyFill="1" applyBorder="1"/>
    <xf numFmtId="8" fontId="0" fillId="0" borderId="0" xfId="0" applyNumberFormat="1"/>
  </cellXfs>
  <cellStyles count="4">
    <cellStyle name="Comma" xfId="2" builtinId="3"/>
    <cellStyle name="Currency" xfId="3" builtinId="4"/>
    <cellStyle name="Normal" xfId="0" builtinId="0"/>
    <cellStyle name="Percent" xfId="1" builtinId="5"/>
  </cellStyles>
  <dxfs count="3">
    <dxf>
      <font>
        <color theme="0"/>
      </font>
      <fill>
        <patternFill>
          <bgColor rgb="FFFF0000"/>
        </patternFill>
      </fill>
    </dxf>
    <dxf>
      <fill>
        <patternFill>
          <bgColor theme="5" tint="0.59996337778862885"/>
        </patternFill>
      </fill>
    </dxf>
    <dxf>
      <fill>
        <patternFill>
          <bgColor theme="5" tint="0.79998168889431442"/>
        </patternFill>
      </fill>
    </dxf>
  </dxfs>
  <tableStyles count="0" defaultTableStyle="TableStyleMedium2" defaultPivotStyle="PivotStyleLight16"/>
  <colors>
    <mruColors>
      <color rgb="FFCCFF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3"/>
  <sheetViews>
    <sheetView tabSelected="1" zoomScale="115" zoomScaleNormal="115" workbookViewId="0">
      <selection activeCell="B19" sqref="B19"/>
    </sheetView>
  </sheetViews>
  <sheetFormatPr defaultRowHeight="14.4" x14ac:dyDescent="0.3"/>
  <cols>
    <col min="1" max="1" width="3" bestFit="1" customWidth="1"/>
    <col min="2" max="2" width="98.21875" customWidth="1"/>
  </cols>
  <sheetData>
    <row r="1" spans="1:2" x14ac:dyDescent="0.3">
      <c r="A1" s="52">
        <v>1</v>
      </c>
      <c r="B1" s="52" t="s">
        <v>0</v>
      </c>
    </row>
    <row r="2" spans="1:2" x14ac:dyDescent="0.3">
      <c r="A2" s="52">
        <v>2</v>
      </c>
      <c r="B2" s="52" t="s">
        <v>1</v>
      </c>
    </row>
    <row r="3" spans="1:2" x14ac:dyDescent="0.3">
      <c r="A3" s="52">
        <v>3</v>
      </c>
      <c r="B3" s="52" t="s">
        <v>2</v>
      </c>
    </row>
    <row r="4" spans="1:2" x14ac:dyDescent="0.3">
      <c r="A4" s="52">
        <v>4</v>
      </c>
      <c r="B4" s="52" t="s">
        <v>9</v>
      </c>
    </row>
    <row r="5" spans="1:2" x14ac:dyDescent="0.3">
      <c r="A5" s="52">
        <v>5</v>
      </c>
      <c r="B5" s="52" t="s">
        <v>3</v>
      </c>
    </row>
    <row r="6" spans="1:2" x14ac:dyDescent="0.3">
      <c r="A6" s="52">
        <v>6</v>
      </c>
      <c r="B6" s="52" t="s">
        <v>158</v>
      </c>
    </row>
    <row r="7" spans="1:2" x14ac:dyDescent="0.3">
      <c r="A7" s="52">
        <v>7</v>
      </c>
      <c r="B7" s="52" t="s">
        <v>153</v>
      </c>
    </row>
    <row r="8" spans="1:2" x14ac:dyDescent="0.3">
      <c r="A8" s="52">
        <v>8</v>
      </c>
      <c r="B8" s="52" t="s">
        <v>57</v>
      </c>
    </row>
    <row r="9" spans="1:2" x14ac:dyDescent="0.3">
      <c r="A9" s="52">
        <v>9</v>
      </c>
      <c r="B9" s="52" t="s">
        <v>43</v>
      </c>
    </row>
    <row r="10" spans="1:2" x14ac:dyDescent="0.3">
      <c r="A10" s="52">
        <v>10</v>
      </c>
      <c r="B10" s="52" t="s">
        <v>123</v>
      </c>
    </row>
    <row r="11" spans="1:2" x14ac:dyDescent="0.3">
      <c r="A11" s="52">
        <v>11</v>
      </c>
      <c r="B11" s="52" t="s">
        <v>67</v>
      </c>
    </row>
    <row r="12" spans="1:2" x14ac:dyDescent="0.3">
      <c r="A12" s="52">
        <v>12</v>
      </c>
      <c r="B12" s="52" t="s">
        <v>82</v>
      </c>
    </row>
    <row r="13" spans="1:2" x14ac:dyDescent="0.3">
      <c r="A13" s="52">
        <v>13</v>
      </c>
      <c r="B13" s="52" t="s">
        <v>87</v>
      </c>
    </row>
    <row r="14" spans="1:2" x14ac:dyDescent="0.3">
      <c r="A14" s="52">
        <v>14</v>
      </c>
      <c r="B14" s="52" t="s">
        <v>88</v>
      </c>
    </row>
    <row r="15" spans="1:2" x14ac:dyDescent="0.3">
      <c r="A15" s="52">
        <v>15</v>
      </c>
      <c r="B15" s="52" t="s">
        <v>90</v>
      </c>
    </row>
    <row r="16" spans="1:2" x14ac:dyDescent="0.3">
      <c r="A16" s="52">
        <v>16</v>
      </c>
      <c r="B16" s="52" t="s">
        <v>91</v>
      </c>
    </row>
    <row r="17" spans="1:2" x14ac:dyDescent="0.3">
      <c r="A17" s="52">
        <v>17</v>
      </c>
      <c r="B17" s="52" t="s">
        <v>138</v>
      </c>
    </row>
    <row r="18" spans="1:2" x14ac:dyDescent="0.3">
      <c r="A18" s="52">
        <v>18</v>
      </c>
      <c r="B18" s="52" t="s">
        <v>132</v>
      </c>
    </row>
    <row r="19" spans="1:2" x14ac:dyDescent="0.3">
      <c r="A19" s="52">
        <v>19</v>
      </c>
      <c r="B19" s="52" t="s">
        <v>159</v>
      </c>
    </row>
    <row r="20" spans="1:2" x14ac:dyDescent="0.3">
      <c r="A20" s="52">
        <v>20</v>
      </c>
      <c r="B20" s="52" t="s">
        <v>111</v>
      </c>
    </row>
    <row r="21" spans="1:2" x14ac:dyDescent="0.3">
      <c r="A21" s="52">
        <v>21</v>
      </c>
      <c r="B21" s="52" t="s">
        <v>120</v>
      </c>
    </row>
    <row r="22" spans="1:2" x14ac:dyDescent="0.3">
      <c r="A22" s="52">
        <v>22</v>
      </c>
      <c r="B22" s="52" t="s">
        <v>139</v>
      </c>
    </row>
    <row r="23" spans="1:2" x14ac:dyDescent="0.3">
      <c r="A23" s="52">
        <v>23</v>
      </c>
      <c r="B23" s="52" t="s">
        <v>121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K66"/>
  <sheetViews>
    <sheetView zoomScale="85" zoomScaleNormal="85" workbookViewId="0">
      <selection activeCell="E59" sqref="E59"/>
    </sheetView>
  </sheetViews>
  <sheetFormatPr defaultRowHeight="14.4" x14ac:dyDescent="0.3"/>
  <cols>
    <col min="1" max="1" width="11.6640625" customWidth="1"/>
    <col min="2" max="2" width="9.44140625" customWidth="1"/>
    <col min="3" max="3" width="8.88671875" customWidth="1"/>
    <col min="4" max="4" width="19" bestFit="1" customWidth="1"/>
    <col min="5" max="5" width="16.21875" customWidth="1"/>
    <col min="6" max="6" width="11.5546875" customWidth="1"/>
    <col min="7" max="7" width="9.6640625" bestFit="1" customWidth="1"/>
    <col min="8" max="8" width="8.88671875" bestFit="1" customWidth="1"/>
    <col min="9" max="9" width="8.5546875" bestFit="1" customWidth="1"/>
    <col min="10" max="10" width="19" bestFit="1" customWidth="1"/>
    <col min="11" max="11" width="12.33203125" bestFit="1" customWidth="1"/>
  </cols>
  <sheetData>
    <row r="1" spans="1:9" x14ac:dyDescent="0.3">
      <c r="A1" s="8" t="s">
        <v>0</v>
      </c>
    </row>
    <row r="2" spans="1:9" x14ac:dyDescent="0.3">
      <c r="A2" s="8" t="s">
        <v>1</v>
      </c>
    </row>
    <row r="3" spans="1:9" x14ac:dyDescent="0.3">
      <c r="A3" s="8" t="s">
        <v>2</v>
      </c>
    </row>
    <row r="4" spans="1:9" x14ac:dyDescent="0.3">
      <c r="A4" s="8" t="s">
        <v>9</v>
      </c>
    </row>
    <row r="6" spans="1:9" ht="28.8" x14ac:dyDescent="0.3">
      <c r="A6" s="3" t="s">
        <v>6</v>
      </c>
      <c r="B6" s="7" t="s">
        <v>7</v>
      </c>
      <c r="D6" s="3" t="s">
        <v>6</v>
      </c>
      <c r="E6" s="3" t="s">
        <v>7</v>
      </c>
    </row>
    <row r="7" spans="1:9" x14ac:dyDescent="0.3">
      <c r="A7" s="5">
        <v>2485</v>
      </c>
      <c r="B7" s="4">
        <f>LOOKUP(A7,D7:E11)</f>
        <v>0.1</v>
      </c>
      <c r="D7" s="1">
        <v>0</v>
      </c>
      <c r="E7" s="2">
        <v>0</v>
      </c>
    </row>
    <row r="8" spans="1:9" x14ac:dyDescent="0.3">
      <c r="D8" s="1">
        <v>500</v>
      </c>
      <c r="E8" s="2">
        <v>0.05</v>
      </c>
    </row>
    <row r="9" spans="1:9" ht="28.8" x14ac:dyDescent="0.3">
      <c r="A9" s="3" t="s">
        <v>6</v>
      </c>
      <c r="B9" s="7" t="s">
        <v>7</v>
      </c>
      <c r="D9" s="1">
        <v>1000</v>
      </c>
      <c r="E9" s="2">
        <v>0.1</v>
      </c>
    </row>
    <row r="10" spans="1:9" x14ac:dyDescent="0.3">
      <c r="A10" s="5">
        <f>A7</f>
        <v>2485</v>
      </c>
      <c r="B10" s="4">
        <f>LOOKUP(A10,E13:I14)</f>
        <v>0.1</v>
      </c>
      <c r="D10" s="1">
        <v>6000</v>
      </c>
      <c r="E10" s="2">
        <v>0.12</v>
      </c>
    </row>
    <row r="11" spans="1:9" x14ac:dyDescent="0.3">
      <c r="D11" s="1">
        <v>25000</v>
      </c>
      <c r="E11" s="2">
        <v>0.16</v>
      </c>
    </row>
    <row r="13" spans="1:9" x14ac:dyDescent="0.3">
      <c r="D13" s="3" t="s">
        <v>6</v>
      </c>
      <c r="E13" s="1">
        <v>0</v>
      </c>
      <c r="F13" s="1">
        <v>500</v>
      </c>
      <c r="G13" s="1">
        <v>1000</v>
      </c>
      <c r="H13" s="1">
        <v>6000</v>
      </c>
      <c r="I13" s="1">
        <v>25000</v>
      </c>
    </row>
    <row r="14" spans="1:9" x14ac:dyDescent="0.3">
      <c r="D14" s="3" t="s">
        <v>7</v>
      </c>
      <c r="E14" s="2">
        <v>0</v>
      </c>
      <c r="F14" s="2">
        <v>0.05</v>
      </c>
      <c r="G14" s="2">
        <v>0.1</v>
      </c>
      <c r="H14" s="2">
        <v>0.12</v>
      </c>
      <c r="I14" s="2">
        <v>0.16</v>
      </c>
    </row>
    <row r="16" spans="1:9" x14ac:dyDescent="0.3">
      <c r="A16" s="8" t="s">
        <v>3</v>
      </c>
    </row>
    <row r="18" spans="1:11" x14ac:dyDescent="0.3">
      <c r="A18" s="3" t="s">
        <v>10</v>
      </c>
      <c r="B18" s="3" t="s">
        <v>11</v>
      </c>
      <c r="C18" s="3" t="s">
        <v>12</v>
      </c>
      <c r="D18" s="3" t="s">
        <v>13</v>
      </c>
      <c r="E18" s="3" t="s">
        <v>14</v>
      </c>
      <c r="G18" s="3" t="s">
        <v>10</v>
      </c>
      <c r="H18" s="3" t="s">
        <v>11</v>
      </c>
      <c r="I18" s="3" t="s">
        <v>12</v>
      </c>
      <c r="J18" s="3" t="s">
        <v>13</v>
      </c>
      <c r="K18" s="3" t="s">
        <v>14</v>
      </c>
    </row>
    <row r="19" spans="1:11" x14ac:dyDescent="0.3">
      <c r="A19" s="1" t="s">
        <v>42</v>
      </c>
      <c r="B19" s="1" t="s">
        <v>15</v>
      </c>
      <c r="C19" s="1" t="s">
        <v>16</v>
      </c>
      <c r="D19" s="1" t="str">
        <f t="shared" ref="D19:D25" si="0">B19&amp;UPPER(LEFT(C19,1))&amp;"@PBY.com"</f>
        <v>LeffJ@PBY.com</v>
      </c>
      <c r="E19" s="1" t="s">
        <v>17</v>
      </c>
      <c r="G19" s="1" t="s">
        <v>38</v>
      </c>
      <c r="H19" s="1" t="s">
        <v>21</v>
      </c>
      <c r="I19" s="1" t="s">
        <v>22</v>
      </c>
      <c r="J19" s="1" t="str">
        <f t="shared" ref="J19:J25" si="1">H19&amp;UPPER(LEFT(I19,1))&amp;"@PBY.com"</f>
        <v>CollerK@PBY.com</v>
      </c>
      <c r="K19" s="1" t="s">
        <v>23</v>
      </c>
    </row>
    <row r="20" spans="1:11" x14ac:dyDescent="0.3">
      <c r="A20" s="1" t="s">
        <v>41</v>
      </c>
      <c r="B20" s="1" t="s">
        <v>18</v>
      </c>
      <c r="C20" s="1" t="s">
        <v>19</v>
      </c>
      <c r="D20" s="1" t="str">
        <f t="shared" si="0"/>
        <v>PianoM@PBY.com</v>
      </c>
      <c r="E20" s="1" t="s">
        <v>20</v>
      </c>
      <c r="G20" s="1" t="s">
        <v>41</v>
      </c>
      <c r="H20" s="1" t="s">
        <v>30</v>
      </c>
      <c r="I20" s="1" t="s">
        <v>31</v>
      </c>
      <c r="J20" s="1" t="str">
        <f t="shared" si="1"/>
        <v>DudgeonP@PBY.com</v>
      </c>
      <c r="K20" s="1" t="s">
        <v>32</v>
      </c>
    </row>
    <row r="21" spans="1:11" x14ac:dyDescent="0.3">
      <c r="A21" s="1" t="s">
        <v>40</v>
      </c>
      <c r="B21" s="1" t="s">
        <v>21</v>
      </c>
      <c r="C21" s="1" t="s">
        <v>22</v>
      </c>
      <c r="D21" s="1" t="str">
        <f t="shared" si="0"/>
        <v>CollerK@PBY.com</v>
      </c>
      <c r="E21" s="1" t="s">
        <v>23</v>
      </c>
      <c r="G21" s="1" t="s">
        <v>42</v>
      </c>
      <c r="H21" s="1" t="s">
        <v>33</v>
      </c>
      <c r="I21" s="1" t="s">
        <v>34</v>
      </c>
      <c r="J21" s="1" t="str">
        <f t="shared" si="1"/>
        <v>HughsP@PBY.com</v>
      </c>
      <c r="K21" s="1" t="s">
        <v>35</v>
      </c>
    </row>
    <row r="22" spans="1:11" x14ac:dyDescent="0.3">
      <c r="A22" s="1" t="s">
        <v>39</v>
      </c>
      <c r="B22" s="1" t="s">
        <v>24</v>
      </c>
      <c r="C22" s="1" t="s">
        <v>25</v>
      </c>
      <c r="D22" s="1" t="str">
        <f t="shared" si="0"/>
        <v>StackpoleL@PBY.com</v>
      </c>
      <c r="E22" s="1" t="s">
        <v>26</v>
      </c>
      <c r="G22" s="1" t="s">
        <v>36</v>
      </c>
      <c r="H22" s="1" t="s">
        <v>15</v>
      </c>
      <c r="I22" s="1" t="s">
        <v>16</v>
      </c>
      <c r="J22" s="1" t="str">
        <f t="shared" si="1"/>
        <v>LeffJ@PBY.com</v>
      </c>
      <c r="K22" s="1" t="s">
        <v>17</v>
      </c>
    </row>
    <row r="23" spans="1:11" x14ac:dyDescent="0.3">
      <c r="A23" s="1" t="s">
        <v>38</v>
      </c>
      <c r="B23" s="1" t="s">
        <v>27</v>
      </c>
      <c r="C23" s="1" t="s">
        <v>28</v>
      </c>
      <c r="D23" s="1" t="str">
        <f t="shared" si="0"/>
        <v>LintzK@PBY.com</v>
      </c>
      <c r="E23" s="1" t="s">
        <v>29</v>
      </c>
      <c r="G23" s="1" t="s">
        <v>40</v>
      </c>
      <c r="H23" s="1" t="s">
        <v>27</v>
      </c>
      <c r="I23" s="1" t="s">
        <v>28</v>
      </c>
      <c r="J23" s="1" t="str">
        <f t="shared" si="1"/>
        <v>LintzK@PBY.com</v>
      </c>
      <c r="K23" s="1" t="s">
        <v>29</v>
      </c>
    </row>
    <row r="24" spans="1:11" x14ac:dyDescent="0.3">
      <c r="A24" s="1" t="s">
        <v>37</v>
      </c>
      <c r="B24" s="1" t="s">
        <v>30</v>
      </c>
      <c r="C24" s="1" t="s">
        <v>31</v>
      </c>
      <c r="D24" s="1" t="str">
        <f t="shared" si="0"/>
        <v>DudgeonP@PBY.com</v>
      </c>
      <c r="E24" s="1" t="s">
        <v>32</v>
      </c>
      <c r="G24" s="1" t="s">
        <v>37</v>
      </c>
      <c r="H24" s="1" t="s">
        <v>18</v>
      </c>
      <c r="I24" s="1" t="s">
        <v>19</v>
      </c>
      <c r="J24" s="1" t="str">
        <f t="shared" si="1"/>
        <v>PianoM@PBY.com</v>
      </c>
      <c r="K24" s="1" t="s">
        <v>20</v>
      </c>
    </row>
    <row r="25" spans="1:11" x14ac:dyDescent="0.3">
      <c r="A25" s="1" t="s">
        <v>36</v>
      </c>
      <c r="B25" s="1" t="s">
        <v>33</v>
      </c>
      <c r="C25" s="1" t="s">
        <v>34</v>
      </c>
      <c r="D25" s="1" t="str">
        <f t="shared" si="0"/>
        <v>HughsP@PBY.com</v>
      </c>
      <c r="E25" s="1" t="s">
        <v>35</v>
      </c>
      <c r="G25" s="1" t="s">
        <v>39</v>
      </c>
      <c r="H25" s="1" t="s">
        <v>24</v>
      </c>
      <c r="I25" s="1" t="s">
        <v>25</v>
      </c>
      <c r="J25" s="1" t="str">
        <f t="shared" si="1"/>
        <v>StackpoleL@PBY.com</v>
      </c>
      <c r="K25" s="1" t="s">
        <v>26</v>
      </c>
    </row>
    <row r="26" spans="1:11" x14ac:dyDescent="0.3">
      <c r="A26" s="6"/>
      <c r="B26" s="6"/>
      <c r="C26" s="6"/>
      <c r="D26" s="6"/>
      <c r="E26" s="6"/>
    </row>
    <row r="27" spans="1:11" x14ac:dyDescent="0.3">
      <c r="C27" s="6"/>
      <c r="D27" s="3" t="s">
        <v>10</v>
      </c>
      <c r="E27" s="3" t="s">
        <v>13</v>
      </c>
    </row>
    <row r="28" spans="1:11" x14ac:dyDescent="0.3">
      <c r="A28" s="6"/>
      <c r="B28" s="6"/>
      <c r="C28" s="6"/>
      <c r="D28" s="1" t="s">
        <v>41</v>
      </c>
      <c r="E28" s="4" t="str">
        <f>LOOKUP(D28,A19:E25)</f>
        <v>253-553-4381</v>
      </c>
    </row>
    <row r="29" spans="1:11" x14ac:dyDescent="0.3">
      <c r="A29" s="6"/>
      <c r="B29" s="6"/>
      <c r="C29" s="6"/>
      <c r="D29" s="6"/>
      <c r="E29" s="6"/>
    </row>
    <row r="30" spans="1:11" x14ac:dyDescent="0.3">
      <c r="A30" s="6"/>
      <c r="B30" s="6"/>
      <c r="C30" s="6"/>
      <c r="D30" s="3" t="s">
        <v>10</v>
      </c>
      <c r="E30" s="3" t="s">
        <v>13</v>
      </c>
    </row>
    <row r="31" spans="1:11" x14ac:dyDescent="0.3">
      <c r="A31" s="6"/>
      <c r="B31" s="6"/>
      <c r="C31" s="6"/>
      <c r="D31" s="1" t="s">
        <v>39</v>
      </c>
      <c r="E31" s="4" t="str">
        <f>LOOKUP(D31,G19:K25)</f>
        <v>253-719-7600</v>
      </c>
    </row>
    <row r="32" spans="1:11" x14ac:dyDescent="0.3">
      <c r="A32" s="6"/>
      <c r="B32" s="6"/>
      <c r="C32" s="6"/>
      <c r="D32" s="6"/>
      <c r="E32" s="6"/>
    </row>
    <row r="33" spans="1:5" x14ac:dyDescent="0.3">
      <c r="A33" s="8" t="s">
        <v>4</v>
      </c>
    </row>
    <row r="34" spans="1:5" x14ac:dyDescent="0.3">
      <c r="A34" s="8" t="s">
        <v>8</v>
      </c>
    </row>
    <row r="36" spans="1:5" x14ac:dyDescent="0.3">
      <c r="A36" s="3" t="s">
        <v>10</v>
      </c>
      <c r="B36" s="3" t="s">
        <v>11</v>
      </c>
      <c r="C36" s="3" t="s">
        <v>12</v>
      </c>
      <c r="D36" s="3" t="s">
        <v>13</v>
      </c>
      <c r="E36" s="3" t="s">
        <v>14</v>
      </c>
    </row>
    <row r="37" spans="1:5" x14ac:dyDescent="0.3">
      <c r="A37" s="1" t="s">
        <v>42</v>
      </c>
      <c r="B37" s="1" t="s">
        <v>15</v>
      </c>
      <c r="C37" s="1" t="s">
        <v>16</v>
      </c>
      <c r="D37" s="1" t="str">
        <f t="shared" ref="D37:D43" si="2">B37&amp;UPPER(LEFT(C37,1))&amp;"@PBY.com"</f>
        <v>LeffJ@PBY.com</v>
      </c>
      <c r="E37" s="1" t="s">
        <v>17</v>
      </c>
    </row>
    <row r="38" spans="1:5" x14ac:dyDescent="0.3">
      <c r="A38" s="1" t="s">
        <v>41</v>
      </c>
      <c r="B38" s="1" t="s">
        <v>18</v>
      </c>
      <c r="C38" s="1" t="s">
        <v>19</v>
      </c>
      <c r="D38" s="1" t="str">
        <f t="shared" si="2"/>
        <v>PianoM@PBY.com</v>
      </c>
      <c r="E38" s="1" t="s">
        <v>20</v>
      </c>
    </row>
    <row r="39" spans="1:5" x14ac:dyDescent="0.3">
      <c r="A39" s="1" t="s">
        <v>40</v>
      </c>
      <c r="B39" s="1" t="s">
        <v>21</v>
      </c>
      <c r="C39" s="1" t="s">
        <v>22</v>
      </c>
      <c r="D39" s="1" t="str">
        <f t="shared" si="2"/>
        <v>CollerK@PBY.com</v>
      </c>
      <c r="E39" s="1" t="s">
        <v>23</v>
      </c>
    </row>
    <row r="40" spans="1:5" x14ac:dyDescent="0.3">
      <c r="A40" s="1" t="s">
        <v>39</v>
      </c>
      <c r="B40" s="1" t="s">
        <v>24</v>
      </c>
      <c r="C40" s="1" t="s">
        <v>25</v>
      </c>
      <c r="D40" s="1" t="str">
        <f t="shared" si="2"/>
        <v>StackpoleL@PBY.com</v>
      </c>
      <c r="E40" s="1" t="s">
        <v>26</v>
      </c>
    </row>
    <row r="41" spans="1:5" x14ac:dyDescent="0.3">
      <c r="A41" s="1" t="s">
        <v>38</v>
      </c>
      <c r="B41" s="1" t="s">
        <v>27</v>
      </c>
      <c r="C41" s="1" t="s">
        <v>28</v>
      </c>
      <c r="D41" s="1" t="str">
        <f t="shared" si="2"/>
        <v>LintzK@PBY.com</v>
      </c>
      <c r="E41" s="1" t="s">
        <v>29</v>
      </c>
    </row>
    <row r="42" spans="1:5" x14ac:dyDescent="0.3">
      <c r="A42" s="1" t="s">
        <v>37</v>
      </c>
      <c r="B42" s="1" t="s">
        <v>30</v>
      </c>
      <c r="C42" s="1" t="s">
        <v>31</v>
      </c>
      <c r="D42" s="1" t="str">
        <f t="shared" si="2"/>
        <v>DudgeonP@PBY.com</v>
      </c>
      <c r="E42" s="1" t="s">
        <v>32</v>
      </c>
    </row>
    <row r="43" spans="1:5" x14ac:dyDescent="0.3">
      <c r="A43" s="1" t="s">
        <v>36</v>
      </c>
      <c r="B43" s="1" t="s">
        <v>33</v>
      </c>
      <c r="C43" s="1" t="s">
        <v>34</v>
      </c>
      <c r="D43" s="1" t="str">
        <f t="shared" si="2"/>
        <v>HughsP@PBY.com</v>
      </c>
      <c r="E43" s="1" t="s">
        <v>35</v>
      </c>
    </row>
    <row r="45" spans="1:5" x14ac:dyDescent="0.3">
      <c r="A45" s="3" t="s">
        <v>10</v>
      </c>
      <c r="B45" s="3" t="s">
        <v>11</v>
      </c>
      <c r="C45" s="3" t="s">
        <v>12</v>
      </c>
      <c r="D45" s="3" t="s">
        <v>13</v>
      </c>
      <c r="E45" s="3" t="s">
        <v>14</v>
      </c>
    </row>
    <row r="46" spans="1:5" x14ac:dyDescent="0.3">
      <c r="A46" s="1" t="s">
        <v>40</v>
      </c>
      <c r="B46" s="4" t="str">
        <f>LOOKUP($A$46,$A$37:$A$43,B37:B43)</f>
        <v>Coller</v>
      </c>
      <c r="C46" s="4" t="str">
        <f t="shared" ref="C46:E46" si="3">LOOKUP($A$46,$A$37:$A$43,C37:C43)</f>
        <v>Kathrine</v>
      </c>
      <c r="D46" s="4" t="str">
        <f t="shared" si="3"/>
        <v>CollerK@PBY.com</v>
      </c>
      <c r="E46" s="4" t="str">
        <f t="shared" si="3"/>
        <v>206-762-2195</v>
      </c>
    </row>
    <row r="50" spans="1:6" x14ac:dyDescent="0.3">
      <c r="A50" s="8" t="s">
        <v>153</v>
      </c>
    </row>
    <row r="53" spans="1:6" x14ac:dyDescent="0.3">
      <c r="D53" s="3" t="s">
        <v>6</v>
      </c>
      <c r="E53" s="3" t="s">
        <v>154</v>
      </c>
      <c r="F53" s="3" t="s">
        <v>7</v>
      </c>
    </row>
    <row r="54" spans="1:6" x14ac:dyDescent="0.3">
      <c r="D54" s="1">
        <v>0</v>
      </c>
      <c r="E54" s="1" t="s">
        <v>155</v>
      </c>
      <c r="F54" s="2">
        <v>0</v>
      </c>
    </row>
    <row r="55" spans="1:6" x14ac:dyDescent="0.3">
      <c r="D55" s="1">
        <v>500</v>
      </c>
      <c r="E55" s="1" t="s">
        <v>156</v>
      </c>
      <c r="F55" s="2">
        <v>0.03</v>
      </c>
    </row>
    <row r="56" spans="1:6" x14ac:dyDescent="0.3">
      <c r="D56" s="1">
        <v>2000</v>
      </c>
      <c r="E56" s="1" t="s">
        <v>157</v>
      </c>
      <c r="F56" s="2">
        <v>0.05</v>
      </c>
    </row>
    <row r="58" spans="1:6" x14ac:dyDescent="0.3">
      <c r="D58" s="3" t="s">
        <v>6</v>
      </c>
      <c r="E58" s="3" t="s">
        <v>7</v>
      </c>
    </row>
    <row r="59" spans="1:6" x14ac:dyDescent="0.3">
      <c r="D59" s="1">
        <v>250</v>
      </c>
      <c r="E59" s="4">
        <f>LOOKUP(D59,D54:F56)</f>
        <v>0</v>
      </c>
    </row>
    <row r="66" spans="1:1" x14ac:dyDescent="0.3">
      <c r="A66" t="s">
        <v>5</v>
      </c>
    </row>
  </sheetData>
  <sortState ref="G19:K25">
    <sortCondition ref="H19"/>
  </sortState>
  <dataValidations count="3">
    <dataValidation type="list" allowBlank="1" showInputMessage="1" showErrorMessage="1" sqref="D31">
      <formula1>$G$19:$G$25</formula1>
    </dataValidation>
    <dataValidation type="list" allowBlank="1" showInputMessage="1" showErrorMessage="1" sqref="D28">
      <formula1>$A$19:$A$25</formula1>
    </dataValidation>
    <dataValidation type="list" allowBlank="1" showInputMessage="1" showErrorMessage="1" sqref="A46">
      <formula1>$A$37:$A$43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H44"/>
  <sheetViews>
    <sheetView zoomScale="85" zoomScaleNormal="85" workbookViewId="0">
      <selection activeCell="B41" sqref="B41"/>
    </sheetView>
  </sheetViews>
  <sheetFormatPr defaultRowHeight="14.4" x14ac:dyDescent="0.3"/>
  <cols>
    <col min="1" max="1" width="18.21875" customWidth="1"/>
    <col min="2" max="2" width="11.5546875" customWidth="1"/>
    <col min="4" max="4" width="10.5546875" customWidth="1"/>
    <col min="5" max="5" width="11" customWidth="1"/>
    <col min="6" max="6" width="10.44140625" customWidth="1"/>
    <col min="7" max="7" width="11.5546875" customWidth="1"/>
    <col min="8" max="8" width="10.33203125" customWidth="1"/>
  </cols>
  <sheetData>
    <row r="1" spans="1:8" x14ac:dyDescent="0.3">
      <c r="A1" s="8" t="s">
        <v>57</v>
      </c>
    </row>
    <row r="2" spans="1:8" x14ac:dyDescent="0.3">
      <c r="D2" s="13" t="s">
        <v>58</v>
      </c>
      <c r="E2" s="14"/>
    </row>
    <row r="3" spans="1:8" x14ac:dyDescent="0.3">
      <c r="A3" s="3" t="s">
        <v>44</v>
      </c>
      <c r="B3" s="3" t="s">
        <v>45</v>
      </c>
      <c r="C3" s="3" t="s">
        <v>46</v>
      </c>
      <c r="D3" s="3" t="s">
        <v>59</v>
      </c>
      <c r="E3" s="3" t="s">
        <v>56</v>
      </c>
      <c r="G3" s="13" t="s">
        <v>47</v>
      </c>
      <c r="H3" s="14"/>
    </row>
    <row r="4" spans="1:8" ht="28.8" x14ac:dyDescent="0.3">
      <c r="A4" s="10">
        <v>10589</v>
      </c>
      <c r="B4" s="10" t="s">
        <v>50</v>
      </c>
      <c r="C4" s="10">
        <v>4541</v>
      </c>
      <c r="D4" s="11">
        <f>VLOOKUP(C4,$G$5:$H$10,2)</f>
        <v>225</v>
      </c>
      <c r="E4" s="12">
        <f t="shared" ref="E4:E15" si="0">LOOKUP(C4,$G$5:$H$10)</f>
        <v>225</v>
      </c>
      <c r="G4" s="3" t="s">
        <v>48</v>
      </c>
      <c r="H4" s="7" t="s">
        <v>49</v>
      </c>
    </row>
    <row r="5" spans="1:8" x14ac:dyDescent="0.3">
      <c r="A5" s="1">
        <v>10590</v>
      </c>
      <c r="B5" s="1" t="s">
        <v>51</v>
      </c>
      <c r="C5" s="1">
        <v>1154</v>
      </c>
      <c r="D5" s="11">
        <f t="shared" ref="D5:D16" si="1">VLOOKUP(C5,$G$5:$H$10,2)</f>
        <v>25</v>
      </c>
      <c r="E5" s="12">
        <f t="shared" si="0"/>
        <v>25</v>
      </c>
      <c r="G5" s="1">
        <v>0</v>
      </c>
      <c r="H5" s="1">
        <v>0</v>
      </c>
    </row>
    <row r="6" spans="1:8" x14ac:dyDescent="0.3">
      <c r="A6" s="1">
        <v>10591</v>
      </c>
      <c r="B6" s="1" t="s">
        <v>52</v>
      </c>
      <c r="C6" s="1">
        <v>424</v>
      </c>
      <c r="D6" s="11">
        <f t="shared" si="1"/>
        <v>0</v>
      </c>
      <c r="E6" s="12">
        <f t="shared" si="0"/>
        <v>0</v>
      </c>
      <c r="G6" s="1">
        <v>500</v>
      </c>
      <c r="H6" s="1">
        <v>25</v>
      </c>
    </row>
    <row r="7" spans="1:8" x14ac:dyDescent="0.3">
      <c r="A7" s="1">
        <v>10592</v>
      </c>
      <c r="B7" s="1" t="s">
        <v>53</v>
      </c>
      <c r="C7" s="1">
        <v>553</v>
      </c>
      <c r="D7" s="11">
        <f t="shared" si="1"/>
        <v>25</v>
      </c>
      <c r="E7" s="12">
        <f t="shared" si="0"/>
        <v>25</v>
      </c>
      <c r="G7" s="1">
        <v>1500</v>
      </c>
      <c r="H7" s="1">
        <v>100</v>
      </c>
    </row>
    <row r="8" spans="1:8" x14ac:dyDescent="0.3">
      <c r="A8" s="1">
        <v>10593</v>
      </c>
      <c r="B8" s="1" t="s">
        <v>53</v>
      </c>
      <c r="C8" s="1">
        <v>4264</v>
      </c>
      <c r="D8" s="11">
        <f t="shared" si="1"/>
        <v>225</v>
      </c>
      <c r="E8" s="12">
        <f t="shared" si="0"/>
        <v>225</v>
      </c>
      <c r="G8" s="1">
        <v>3000</v>
      </c>
      <c r="H8" s="1">
        <v>225</v>
      </c>
    </row>
    <row r="9" spans="1:8" x14ac:dyDescent="0.3">
      <c r="A9" s="1">
        <v>10594</v>
      </c>
      <c r="B9" s="1" t="s">
        <v>53</v>
      </c>
      <c r="C9" s="1">
        <v>7894</v>
      </c>
      <c r="D9" s="11">
        <f t="shared" si="1"/>
        <v>500</v>
      </c>
      <c r="E9" s="12">
        <f t="shared" si="0"/>
        <v>500</v>
      </c>
      <c r="G9" s="1">
        <v>5000</v>
      </c>
      <c r="H9" s="1">
        <v>500</v>
      </c>
    </row>
    <row r="10" spans="1:8" x14ac:dyDescent="0.3">
      <c r="A10" s="1">
        <v>10595</v>
      </c>
      <c r="B10" s="1" t="s">
        <v>52</v>
      </c>
      <c r="C10" s="1">
        <v>7471</v>
      </c>
      <c r="D10" s="11">
        <f t="shared" si="1"/>
        <v>500</v>
      </c>
      <c r="E10" s="12">
        <f t="shared" si="0"/>
        <v>500</v>
      </c>
      <c r="G10" s="1">
        <v>10000</v>
      </c>
      <c r="H10" s="1">
        <v>1600</v>
      </c>
    </row>
    <row r="11" spans="1:8" x14ac:dyDescent="0.3">
      <c r="A11" s="1">
        <v>10596</v>
      </c>
      <c r="B11" s="1" t="s">
        <v>51</v>
      </c>
      <c r="C11" s="1">
        <v>12219</v>
      </c>
      <c r="D11" s="11">
        <f t="shared" si="1"/>
        <v>1600</v>
      </c>
      <c r="E11" s="12">
        <f t="shared" si="0"/>
        <v>1600</v>
      </c>
    </row>
    <row r="12" spans="1:8" x14ac:dyDescent="0.3">
      <c r="A12" s="1">
        <v>10597</v>
      </c>
      <c r="B12" s="1" t="s">
        <v>50</v>
      </c>
      <c r="C12" s="1">
        <v>9032</v>
      </c>
      <c r="D12" s="11">
        <f t="shared" si="1"/>
        <v>500</v>
      </c>
      <c r="E12" s="12">
        <f t="shared" si="0"/>
        <v>500</v>
      </c>
    </row>
    <row r="13" spans="1:8" x14ac:dyDescent="0.3">
      <c r="A13" s="1">
        <v>10598</v>
      </c>
      <c r="B13" s="1" t="s">
        <v>50</v>
      </c>
      <c r="C13" s="1">
        <v>10555</v>
      </c>
      <c r="D13" s="11">
        <f t="shared" si="1"/>
        <v>1600</v>
      </c>
      <c r="E13" s="12">
        <f t="shared" si="0"/>
        <v>1600</v>
      </c>
    </row>
    <row r="14" spans="1:8" x14ac:dyDescent="0.3">
      <c r="A14" s="1">
        <v>10599</v>
      </c>
      <c r="B14" s="1" t="s">
        <v>53</v>
      </c>
      <c r="C14" s="1">
        <v>14869</v>
      </c>
      <c r="D14" s="11">
        <f t="shared" si="1"/>
        <v>1600</v>
      </c>
      <c r="E14" s="12">
        <f t="shared" si="0"/>
        <v>1600</v>
      </c>
    </row>
    <row r="15" spans="1:8" x14ac:dyDescent="0.3">
      <c r="A15" s="1">
        <v>10600</v>
      </c>
      <c r="B15" s="1" t="s">
        <v>51</v>
      </c>
      <c r="C15" s="1">
        <v>9188</v>
      </c>
      <c r="D15" s="11">
        <f t="shared" si="1"/>
        <v>500</v>
      </c>
      <c r="E15" s="12">
        <f t="shared" si="0"/>
        <v>500</v>
      </c>
    </row>
    <row r="16" spans="1:8" ht="15" thickBot="1" x14ac:dyDescent="0.35">
      <c r="A16" s="1">
        <v>10601</v>
      </c>
      <c r="B16" s="1" t="s">
        <v>52</v>
      </c>
      <c r="C16" s="1">
        <v>5962</v>
      </c>
      <c r="D16" s="11">
        <f t="shared" si="1"/>
        <v>500</v>
      </c>
      <c r="E16" s="12">
        <f t="shared" ref="E16" si="2">LOOKUP(C16,$G$5:$H$10)</f>
        <v>500</v>
      </c>
    </row>
    <row r="17" spans="1:6" ht="15" thickBot="1" x14ac:dyDescent="0.35">
      <c r="C17" s="8" t="s">
        <v>60</v>
      </c>
      <c r="D17" s="15">
        <f>SUM(D4:D16)</f>
        <v>7800</v>
      </c>
      <c r="E17" s="15">
        <f>SUM(E4:E16)</f>
        <v>7800</v>
      </c>
    </row>
    <row r="18" spans="1:6" ht="15" thickTop="1" x14ac:dyDescent="0.3">
      <c r="A18" s="8" t="s">
        <v>43</v>
      </c>
    </row>
    <row r="19" spans="1:6" x14ac:dyDescent="0.3">
      <c r="A19" s="8"/>
    </row>
    <row r="20" spans="1:6" x14ac:dyDescent="0.3">
      <c r="A20" s="9" t="s">
        <v>55</v>
      </c>
      <c r="B20" s="4">
        <f>SUMPRODUCT(LOOKUP(C23:C35,E24:F29))</f>
        <v>7800</v>
      </c>
    </row>
    <row r="22" spans="1:6" x14ac:dyDescent="0.3">
      <c r="A22" s="3" t="s">
        <v>44</v>
      </c>
      <c r="B22" s="3" t="s">
        <v>45</v>
      </c>
      <c r="C22" s="3" t="s">
        <v>46</v>
      </c>
      <c r="E22" s="13" t="s">
        <v>47</v>
      </c>
      <c r="F22" s="14"/>
    </row>
    <row r="23" spans="1:6" ht="28.8" x14ac:dyDescent="0.3">
      <c r="A23" s="10">
        <v>10589</v>
      </c>
      <c r="B23" s="10" t="s">
        <v>50</v>
      </c>
      <c r="C23" s="10">
        <v>4541</v>
      </c>
      <c r="E23" s="3" t="s">
        <v>48</v>
      </c>
      <c r="F23" s="7" t="s">
        <v>49</v>
      </c>
    </row>
    <row r="24" spans="1:6" x14ac:dyDescent="0.3">
      <c r="A24" s="1">
        <v>10590</v>
      </c>
      <c r="B24" s="1" t="s">
        <v>51</v>
      </c>
      <c r="C24" s="1">
        <v>1154</v>
      </c>
      <c r="E24" s="1">
        <v>0</v>
      </c>
      <c r="F24" s="1">
        <v>0</v>
      </c>
    </row>
    <row r="25" spans="1:6" x14ac:dyDescent="0.3">
      <c r="A25" s="1">
        <v>10591</v>
      </c>
      <c r="B25" s="1" t="s">
        <v>52</v>
      </c>
      <c r="C25" s="1">
        <v>424</v>
      </c>
      <c r="E25" s="1">
        <v>500</v>
      </c>
      <c r="F25" s="1">
        <v>25</v>
      </c>
    </row>
    <row r="26" spans="1:6" x14ac:dyDescent="0.3">
      <c r="A26" s="1">
        <v>10592</v>
      </c>
      <c r="B26" s="1" t="s">
        <v>53</v>
      </c>
      <c r="C26" s="1">
        <v>553</v>
      </c>
      <c r="E26" s="1">
        <v>1500</v>
      </c>
      <c r="F26" s="1">
        <v>100</v>
      </c>
    </row>
    <row r="27" spans="1:6" x14ac:dyDescent="0.3">
      <c r="A27" s="1">
        <v>10593</v>
      </c>
      <c r="B27" s="1" t="s">
        <v>53</v>
      </c>
      <c r="C27" s="1">
        <v>4264</v>
      </c>
      <c r="E27" s="1">
        <v>3000</v>
      </c>
      <c r="F27" s="1">
        <v>225</v>
      </c>
    </row>
    <row r="28" spans="1:6" x14ac:dyDescent="0.3">
      <c r="A28" s="1">
        <v>10594</v>
      </c>
      <c r="B28" s="1" t="s">
        <v>53</v>
      </c>
      <c r="C28" s="1">
        <v>7894</v>
      </c>
      <c r="E28" s="1">
        <v>5000</v>
      </c>
      <c r="F28" s="1">
        <v>500</v>
      </c>
    </row>
    <row r="29" spans="1:6" x14ac:dyDescent="0.3">
      <c r="A29" s="1">
        <v>10595</v>
      </c>
      <c r="B29" s="1" t="s">
        <v>52</v>
      </c>
      <c r="C29" s="1">
        <v>7471</v>
      </c>
      <c r="E29" s="1">
        <v>10000</v>
      </c>
      <c r="F29" s="1">
        <v>1600</v>
      </c>
    </row>
    <row r="30" spans="1:6" x14ac:dyDescent="0.3">
      <c r="A30" s="1">
        <v>10596</v>
      </c>
      <c r="B30" s="1" t="s">
        <v>51</v>
      </c>
      <c r="C30" s="1">
        <v>12219</v>
      </c>
    </row>
    <row r="31" spans="1:6" x14ac:dyDescent="0.3">
      <c r="A31" s="1">
        <v>10597</v>
      </c>
      <c r="B31" s="1" t="s">
        <v>50</v>
      </c>
      <c r="C31" s="1">
        <v>9032</v>
      </c>
    </row>
    <row r="32" spans="1:6" x14ac:dyDescent="0.3">
      <c r="A32" s="1">
        <v>10598</v>
      </c>
      <c r="B32" s="1" t="s">
        <v>50</v>
      </c>
      <c r="C32" s="1">
        <v>10555</v>
      </c>
    </row>
    <row r="33" spans="1:4" x14ac:dyDescent="0.3">
      <c r="A33" s="1">
        <v>10599</v>
      </c>
      <c r="B33" s="1" t="s">
        <v>53</v>
      </c>
      <c r="C33" s="1">
        <v>14869</v>
      </c>
    </row>
    <row r="34" spans="1:4" x14ac:dyDescent="0.3">
      <c r="A34" s="1">
        <v>10600</v>
      </c>
      <c r="B34" s="1" t="s">
        <v>51</v>
      </c>
      <c r="C34" s="1">
        <v>9188</v>
      </c>
    </row>
    <row r="35" spans="1:4" x14ac:dyDescent="0.3">
      <c r="A35" s="1">
        <v>10601</v>
      </c>
      <c r="B35" s="1" t="s">
        <v>52</v>
      </c>
      <c r="C35" s="1">
        <v>5962</v>
      </c>
    </row>
    <row r="37" spans="1:4" x14ac:dyDescent="0.3">
      <c r="A37" s="8" t="s">
        <v>123</v>
      </c>
    </row>
    <row r="39" spans="1:4" x14ac:dyDescent="0.3">
      <c r="A39" s="3" t="s">
        <v>45</v>
      </c>
      <c r="B39" s="19" t="s">
        <v>54</v>
      </c>
      <c r="D39" s="8" t="s">
        <v>61</v>
      </c>
    </row>
    <row r="40" spans="1:4" x14ac:dyDescent="0.3">
      <c r="A40" s="18" t="s">
        <v>50</v>
      </c>
      <c r="B40" s="4">
        <f>SUMPRODUCT(LOOKUP($C$23:$C$35*(A40=$B$23:$B$35),$E$24:$F$29))</f>
        <v>2325</v>
      </c>
      <c r="D40" s="4">
        <f>SUMIF($B$4:$B$16,A40,$E$4:$E$16)</f>
        <v>2325</v>
      </c>
    </row>
    <row r="41" spans="1:4" x14ac:dyDescent="0.3">
      <c r="A41" s="18" t="s">
        <v>51</v>
      </c>
      <c r="B41" s="4">
        <f t="shared" ref="B41:B43" si="3">SUMPRODUCT(LOOKUP($C$23:$C$35*(A41=$B$23:$B$35),$E$24:$F$29))</f>
        <v>2125</v>
      </c>
      <c r="D41" s="4">
        <f t="shared" ref="D41:D43" si="4">SUMIF($B$4:$B$16,A41,$E$4:$E$16)</f>
        <v>2125</v>
      </c>
    </row>
    <row r="42" spans="1:4" x14ac:dyDescent="0.3">
      <c r="A42" s="18" t="s">
        <v>52</v>
      </c>
      <c r="B42" s="4">
        <f t="shared" si="3"/>
        <v>1000</v>
      </c>
      <c r="D42" s="4">
        <f t="shared" si="4"/>
        <v>1000</v>
      </c>
    </row>
    <row r="43" spans="1:4" x14ac:dyDescent="0.3">
      <c r="A43" s="18" t="s">
        <v>53</v>
      </c>
      <c r="B43" s="4">
        <f t="shared" si="3"/>
        <v>2350</v>
      </c>
      <c r="D43" s="4">
        <f t="shared" si="4"/>
        <v>2350</v>
      </c>
    </row>
    <row r="44" spans="1:4" x14ac:dyDescent="0.3">
      <c r="A44" s="18" t="s">
        <v>60</v>
      </c>
      <c r="B44" s="4">
        <f>SUM(B40:B43)</f>
        <v>7800</v>
      </c>
      <c r="D44" s="4">
        <f>SUM(D40:D43)</f>
        <v>7800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14"/>
  <sheetViews>
    <sheetView zoomScaleNormal="100" workbookViewId="0">
      <selection activeCell="F8" sqref="F8"/>
    </sheetView>
  </sheetViews>
  <sheetFormatPr defaultRowHeight="14.4" x14ac:dyDescent="0.3"/>
  <cols>
    <col min="1" max="1" width="18.21875" customWidth="1"/>
    <col min="2" max="2" width="11.5546875" customWidth="1"/>
    <col min="4" max="4" width="10.5546875" customWidth="1"/>
    <col min="5" max="5" width="1.21875" customWidth="1"/>
    <col min="6" max="6" width="10.44140625" customWidth="1"/>
    <col min="7" max="7" width="11.5546875" customWidth="1"/>
    <col min="8" max="8" width="10.33203125" customWidth="1"/>
  </cols>
  <sheetData>
    <row r="1" spans="1:15" x14ac:dyDescent="0.3">
      <c r="A1" s="8" t="s">
        <v>67</v>
      </c>
    </row>
    <row r="2" spans="1:15" x14ac:dyDescent="0.3">
      <c r="A2" s="8" t="s">
        <v>82</v>
      </c>
    </row>
    <row r="4" spans="1:15" x14ac:dyDescent="0.3">
      <c r="A4" s="3" t="s">
        <v>68</v>
      </c>
      <c r="B4" s="3" t="s">
        <v>69</v>
      </c>
      <c r="C4" s="3" t="s">
        <v>70</v>
      </c>
      <c r="D4" s="3" t="s">
        <v>71</v>
      </c>
      <c r="F4" s="3" t="s">
        <v>70</v>
      </c>
      <c r="G4" s="3" t="s">
        <v>71</v>
      </c>
      <c r="N4" s="3" t="s">
        <v>70</v>
      </c>
      <c r="O4" s="3" t="s">
        <v>71</v>
      </c>
    </row>
    <row r="5" spans="1:15" x14ac:dyDescent="0.3">
      <c r="A5" s="27">
        <v>40995</v>
      </c>
      <c r="B5" s="1" t="s">
        <v>50</v>
      </c>
      <c r="C5" s="1" t="s">
        <v>76</v>
      </c>
      <c r="D5" s="1" t="s">
        <v>83</v>
      </c>
      <c r="F5" s="1" t="s">
        <v>79</v>
      </c>
      <c r="G5" s="1" t="s">
        <v>84</v>
      </c>
      <c r="N5" s="1" t="s">
        <v>76</v>
      </c>
      <c r="O5" s="1" t="s">
        <v>83</v>
      </c>
    </row>
    <row r="6" spans="1:15" x14ac:dyDescent="0.3">
      <c r="A6" s="27">
        <v>40996</v>
      </c>
      <c r="B6" s="1" t="s">
        <v>51</v>
      </c>
      <c r="C6" s="1" t="s">
        <v>76</v>
      </c>
      <c r="D6" s="1" t="s">
        <v>84</v>
      </c>
      <c r="N6" s="1" t="s">
        <v>77</v>
      </c>
      <c r="O6" s="1" t="s">
        <v>84</v>
      </c>
    </row>
    <row r="7" spans="1:15" x14ac:dyDescent="0.3">
      <c r="A7" s="27">
        <v>40997</v>
      </c>
      <c r="B7" s="1" t="s">
        <v>72</v>
      </c>
      <c r="C7" s="1" t="s">
        <v>77</v>
      </c>
      <c r="D7" s="1" t="s">
        <v>84</v>
      </c>
      <c r="F7" s="3" t="s">
        <v>69</v>
      </c>
      <c r="N7" s="1" t="s">
        <v>80</v>
      </c>
      <c r="O7" s="1" t="s">
        <v>85</v>
      </c>
    </row>
    <row r="8" spans="1:15" x14ac:dyDescent="0.3">
      <c r="A8" s="27">
        <v>40998</v>
      </c>
      <c r="B8" s="1" t="s">
        <v>73</v>
      </c>
      <c r="C8" s="1" t="s">
        <v>77</v>
      </c>
      <c r="D8" s="1" t="s">
        <v>83</v>
      </c>
      <c r="F8" s="4" t="str">
        <f>IFERROR(LOOKUP(1,1/(F5&amp;G5=C5:C14&amp;D5:D14),B5:B14),"No Match")</f>
        <v>Chip</v>
      </c>
      <c r="N8" s="1" t="s">
        <v>79</v>
      </c>
      <c r="O8" s="1" t="s">
        <v>86</v>
      </c>
    </row>
    <row r="9" spans="1:15" x14ac:dyDescent="0.3">
      <c r="A9" s="27">
        <v>40999</v>
      </c>
      <c r="B9" s="1" t="s">
        <v>73</v>
      </c>
      <c r="C9" s="1" t="s">
        <v>76</v>
      </c>
      <c r="D9" s="1" t="s">
        <v>85</v>
      </c>
      <c r="N9" s="1" t="s">
        <v>78</v>
      </c>
      <c r="O9" s="1" t="s">
        <v>81</v>
      </c>
    </row>
    <row r="10" spans="1:15" x14ac:dyDescent="0.3">
      <c r="A10" s="27">
        <v>41000</v>
      </c>
      <c r="B10" s="1" t="s">
        <v>72</v>
      </c>
      <c r="C10" s="1" t="s">
        <v>80</v>
      </c>
      <c r="D10" s="1" t="s">
        <v>83</v>
      </c>
      <c r="F10" t="str">
        <f>IF(ISNA(LOOKUP(1,1/(F5&amp;G5=C5:C14&amp;D5:D14),B5:B14)),"Mo Match",LOOKUP(1,1/(F5&amp;G5=C5:C14&amp;D5:D14),B5:B14))</f>
        <v>Chip</v>
      </c>
    </row>
    <row r="11" spans="1:15" x14ac:dyDescent="0.3">
      <c r="A11" s="27">
        <v>41001</v>
      </c>
      <c r="B11" s="1" t="s">
        <v>50</v>
      </c>
      <c r="C11" s="1" t="s">
        <v>80</v>
      </c>
      <c r="D11" s="1" t="s">
        <v>86</v>
      </c>
    </row>
    <row r="12" spans="1:15" x14ac:dyDescent="0.3">
      <c r="A12" s="27">
        <v>41002</v>
      </c>
      <c r="B12" s="1" t="s">
        <v>74</v>
      </c>
      <c r="C12" s="1" t="s">
        <v>80</v>
      </c>
      <c r="D12" s="1" t="s">
        <v>81</v>
      </c>
    </row>
    <row r="13" spans="1:15" x14ac:dyDescent="0.3">
      <c r="A13" s="27">
        <v>41003</v>
      </c>
      <c r="B13" s="1" t="s">
        <v>75</v>
      </c>
      <c r="C13" s="1" t="s">
        <v>79</v>
      </c>
      <c r="D13" s="1" t="s">
        <v>84</v>
      </c>
    </row>
    <row r="14" spans="1:15" x14ac:dyDescent="0.3">
      <c r="A14" s="27">
        <v>41004</v>
      </c>
      <c r="B14" s="1" t="s">
        <v>51</v>
      </c>
      <c r="C14" s="1" t="s">
        <v>78</v>
      </c>
      <c r="D14" s="1" t="s">
        <v>86</v>
      </c>
    </row>
  </sheetData>
  <conditionalFormatting sqref="A5:D14">
    <cfRule type="expression" dxfId="2" priority="1">
      <formula>AND($C5=$F$5,$D5=$G$5)</formula>
    </cfRule>
  </conditionalFormatting>
  <dataValidations count="2">
    <dataValidation type="list" allowBlank="1" showInputMessage="1" showErrorMessage="1" sqref="G5">
      <formula1>$O$5:$O$9</formula1>
    </dataValidation>
    <dataValidation type="list" allowBlank="1" showInputMessage="1" showErrorMessage="1" sqref="F5">
      <formula1>$N$5:$N$9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56"/>
  <sheetViews>
    <sheetView zoomScale="85" zoomScaleNormal="85" workbookViewId="0">
      <selection activeCell="C36" sqref="C36"/>
    </sheetView>
  </sheetViews>
  <sheetFormatPr defaultColWidth="9.21875" defaultRowHeight="14.4" x14ac:dyDescent="0.3"/>
  <cols>
    <col min="1" max="1" width="18.109375" customWidth="1"/>
    <col min="2" max="2" width="22.77734375" customWidth="1"/>
    <col min="3" max="3" width="22.5546875" customWidth="1"/>
    <col min="4" max="4" width="19.21875" customWidth="1"/>
    <col min="10" max="10" width="10.77734375" bestFit="1" customWidth="1"/>
  </cols>
  <sheetData>
    <row r="1" spans="1:4" ht="28.8" x14ac:dyDescent="0.3">
      <c r="A1" s="28"/>
      <c r="B1" s="28"/>
      <c r="C1" s="28" t="s">
        <v>89</v>
      </c>
      <c r="D1" s="28" t="s">
        <v>124</v>
      </c>
    </row>
    <row r="2" spans="1:4" ht="43.2" x14ac:dyDescent="0.3">
      <c r="A2" s="7" t="s">
        <v>87</v>
      </c>
      <c r="B2" s="7" t="s">
        <v>88</v>
      </c>
      <c r="C2" s="7" t="s">
        <v>90</v>
      </c>
      <c r="D2" s="7" t="s">
        <v>91</v>
      </c>
    </row>
    <row r="3" spans="1:4" x14ac:dyDescent="0.3">
      <c r="A3" s="4">
        <f>LOOKUP(9.99999999999999E+307,A6:A20)</f>
        <v>2</v>
      </c>
      <c r="B3" s="4" t="str">
        <f>LOOKUP(REPT("z",255),B6:B20)</f>
        <v/>
      </c>
      <c r="C3" s="4" t="str">
        <f>LOOKUP(2,SEARCH("?",C6:C20),C6:C20)</f>
        <v>Excel 2011</v>
      </c>
      <c r="D3" s="4">
        <f>LOOKUP(2,1/(D6:D20&lt;&gt;""),D6:D20)</f>
        <v>4</v>
      </c>
    </row>
    <row r="5" spans="1:4" x14ac:dyDescent="0.3">
      <c r="A5" s="7" t="s">
        <v>92</v>
      </c>
      <c r="B5" s="7" t="s">
        <v>93</v>
      </c>
      <c r="C5" s="7" t="s">
        <v>93</v>
      </c>
      <c r="D5" s="7" t="s">
        <v>94</v>
      </c>
    </row>
    <row r="6" spans="1:4" x14ac:dyDescent="0.3">
      <c r="A6" s="1">
        <v>2</v>
      </c>
      <c r="B6" s="1" t="s">
        <v>95</v>
      </c>
      <c r="C6" s="1" t="s">
        <v>95</v>
      </c>
      <c r="D6" s="1">
        <v>5</v>
      </c>
    </row>
    <row r="7" spans="1:4" x14ac:dyDescent="0.3">
      <c r="A7" s="1">
        <v>3</v>
      </c>
      <c r="B7" s="1"/>
      <c r="C7" s="1"/>
      <c r="D7" s="1"/>
    </row>
    <row r="8" spans="1:4" x14ac:dyDescent="0.3">
      <c r="A8" s="1"/>
      <c r="B8" s="1" t="s">
        <v>96</v>
      </c>
      <c r="C8" s="1" t="s">
        <v>96</v>
      </c>
      <c r="D8" s="1"/>
    </row>
    <row r="9" spans="1:4" x14ac:dyDescent="0.3">
      <c r="A9" s="1"/>
      <c r="B9" s="1"/>
      <c r="C9" s="1"/>
      <c r="D9" s="1">
        <v>6</v>
      </c>
    </row>
    <row r="10" spans="1:4" x14ac:dyDescent="0.3">
      <c r="A10" s="1"/>
      <c r="B10" s="1" t="s">
        <v>97</v>
      </c>
      <c r="C10" s="1" t="s">
        <v>97</v>
      </c>
      <c r="D10" s="1"/>
    </row>
    <row r="11" spans="1:4" x14ac:dyDescent="0.3">
      <c r="A11" s="1">
        <v>5</v>
      </c>
      <c r="B11" s="1" t="s">
        <v>98</v>
      </c>
      <c r="C11" s="1" t="s">
        <v>98</v>
      </c>
      <c r="D11" s="1" t="s">
        <v>99</v>
      </c>
    </row>
    <row r="12" spans="1:4" x14ac:dyDescent="0.3">
      <c r="A12" s="1"/>
      <c r="B12" s="1"/>
      <c r="C12" s="1"/>
      <c r="D12" s="21" t="str">
        <f>""</f>
        <v/>
      </c>
    </row>
    <row r="13" spans="1:4" x14ac:dyDescent="0.3">
      <c r="A13" s="1"/>
      <c r="B13" s="1"/>
      <c r="C13" s="1"/>
      <c r="D13" s="1"/>
    </row>
    <row r="14" spans="1:4" x14ac:dyDescent="0.3">
      <c r="A14" s="1">
        <v>2</v>
      </c>
      <c r="B14" s="1"/>
      <c r="C14" s="1"/>
      <c r="D14" s="1">
        <v>4</v>
      </c>
    </row>
    <row r="15" spans="1:4" x14ac:dyDescent="0.3">
      <c r="A15" s="1"/>
      <c r="B15" s="1" t="s">
        <v>100</v>
      </c>
      <c r="C15" s="1" t="s">
        <v>101</v>
      </c>
      <c r="D15" s="1"/>
    </row>
    <row r="16" spans="1:4" x14ac:dyDescent="0.3">
      <c r="A16" s="1">
        <v>52</v>
      </c>
      <c r="B16" s="1"/>
      <c r="C16" s="1"/>
      <c r="D16" s="1"/>
    </row>
    <row r="17" spans="1:7" x14ac:dyDescent="0.3">
      <c r="A17" s="1">
        <v>2</v>
      </c>
      <c r="B17" s="21" t="str">
        <f>""</f>
        <v/>
      </c>
      <c r="C17" s="21" t="str">
        <f>""</f>
        <v/>
      </c>
      <c r="D17" s="1"/>
    </row>
    <row r="18" spans="1:7" x14ac:dyDescent="0.3">
      <c r="A18" s="1"/>
      <c r="B18" s="1" t="str">
        <f>REPT("z",256)</f>
        <v>zzzzzzzzzzzzzzzzzzzzzzzzzzzzzzzzzzzzzzzzzzzzzzzzzzzzzzzzzzzzzzzzzzzzzzzzzzzzzzzzzzzzzzzzzzzzzzzzzzzzzzzzzzzzzzzzzzzzzzzzzzzzzzzzzzzzzzzzzzzzzzzzzzzzzzzzzzzzzzzzzzzzzzzzzzzzzzzzzzzzzzzzzzzzzzzzzzzzzzzzzzzzzzzzzzzzzzzzzzzzzzzzzzzzzzzzzzzzzzzzzzzzzzzzzzzzzzzz</v>
      </c>
      <c r="C18" s="1"/>
      <c r="D18" s="1"/>
    </row>
    <row r="19" spans="1:7" x14ac:dyDescent="0.3">
      <c r="A19" s="1"/>
      <c r="B19" s="1"/>
      <c r="C19" s="1"/>
      <c r="D19" s="1"/>
    </row>
    <row r="20" spans="1:7" x14ac:dyDescent="0.3">
      <c r="A20" s="1"/>
      <c r="B20" s="1"/>
      <c r="C20" s="1"/>
      <c r="D20" s="1"/>
    </row>
    <row r="24" spans="1:7" x14ac:dyDescent="0.3">
      <c r="A24" s="8" t="s">
        <v>130</v>
      </c>
    </row>
    <row r="26" spans="1:7" x14ac:dyDescent="0.3">
      <c r="A26" s="3" t="s">
        <v>66</v>
      </c>
      <c r="C26" s="3" t="s">
        <v>125</v>
      </c>
      <c r="D26" s="3" t="s">
        <v>126</v>
      </c>
      <c r="E26" s="3" t="s">
        <v>127</v>
      </c>
      <c r="F26" s="3" t="s">
        <v>128</v>
      </c>
      <c r="G26" s="3" t="s">
        <v>129</v>
      </c>
    </row>
    <row r="27" spans="1:7" x14ac:dyDescent="0.3">
      <c r="A27" s="54" t="s">
        <v>52</v>
      </c>
      <c r="C27" s="1" t="s">
        <v>50</v>
      </c>
      <c r="D27" s="1"/>
      <c r="E27" s="1">
        <v>500</v>
      </c>
      <c r="F27" s="1"/>
      <c r="G27" s="1"/>
    </row>
    <row r="28" spans="1:7" x14ac:dyDescent="0.3">
      <c r="A28" s="3" t="s">
        <v>11</v>
      </c>
      <c r="C28" s="1" t="s">
        <v>51</v>
      </c>
      <c r="D28" s="1">
        <v>100</v>
      </c>
      <c r="E28" s="1"/>
      <c r="F28" s="1">
        <v>200</v>
      </c>
      <c r="G28" s="1"/>
    </row>
    <row r="29" spans="1:7" x14ac:dyDescent="0.3">
      <c r="A29" s="12">
        <f>LOOKUP(9.99999999999999E+307,INDEX(D27:G29,MATCH(A27,C27:C29,0),))</f>
        <v>700</v>
      </c>
      <c r="C29" s="1" t="s">
        <v>52</v>
      </c>
      <c r="D29" s="1">
        <v>100</v>
      </c>
      <c r="E29" s="1">
        <v>100</v>
      </c>
      <c r="F29" s="1">
        <v>600</v>
      </c>
      <c r="G29" s="1">
        <v>700</v>
      </c>
    </row>
    <row r="31" spans="1:7" x14ac:dyDescent="0.3">
      <c r="A31" s="8" t="s">
        <v>132</v>
      </c>
    </row>
    <row r="33" spans="1:10" x14ac:dyDescent="0.3">
      <c r="A33" s="9" t="s">
        <v>68</v>
      </c>
      <c r="B33" s="9" t="s">
        <v>131</v>
      </c>
    </row>
    <row r="34" spans="1:10" x14ac:dyDescent="0.3">
      <c r="A34" s="27">
        <v>40502</v>
      </c>
      <c r="B34" s="56" t="str">
        <f>LOOKUP(2,1/(A34=A37:A56),B37:B56)</f>
        <v>XOM</v>
      </c>
    </row>
    <row r="35" spans="1:10" x14ac:dyDescent="0.3">
      <c r="J35" s="8" t="s">
        <v>68</v>
      </c>
    </row>
    <row r="36" spans="1:10" x14ac:dyDescent="0.3">
      <c r="A36" s="8" t="s">
        <v>68</v>
      </c>
      <c r="B36" s="8" t="s">
        <v>131</v>
      </c>
      <c r="J36" s="26">
        <v>40500</v>
      </c>
    </row>
    <row r="37" spans="1:10" x14ac:dyDescent="0.3">
      <c r="A37" s="27">
        <v>40500</v>
      </c>
      <c r="B37" s="55" t="s">
        <v>136</v>
      </c>
      <c r="J37" s="26">
        <v>40501</v>
      </c>
    </row>
    <row r="38" spans="1:10" x14ac:dyDescent="0.3">
      <c r="A38" s="27">
        <v>40500</v>
      </c>
      <c r="B38" s="55" t="s">
        <v>133</v>
      </c>
      <c r="J38" s="26">
        <v>40502</v>
      </c>
    </row>
    <row r="39" spans="1:10" x14ac:dyDescent="0.3">
      <c r="A39" s="27">
        <v>40500</v>
      </c>
      <c r="B39" s="55" t="s">
        <v>134</v>
      </c>
      <c r="J39" s="26">
        <v>40503</v>
      </c>
    </row>
    <row r="40" spans="1:10" x14ac:dyDescent="0.3">
      <c r="A40" s="27">
        <v>40501</v>
      </c>
      <c r="B40" s="55" t="s">
        <v>135</v>
      </c>
      <c r="J40" s="26">
        <v>40504</v>
      </c>
    </row>
    <row r="41" spans="1:10" x14ac:dyDescent="0.3">
      <c r="A41" s="27">
        <v>40501</v>
      </c>
      <c r="B41" s="55" t="s">
        <v>137</v>
      </c>
      <c r="J41" s="26">
        <v>40505</v>
      </c>
    </row>
    <row r="42" spans="1:10" x14ac:dyDescent="0.3">
      <c r="A42" s="27">
        <v>40501</v>
      </c>
      <c r="B42" s="55" t="s">
        <v>137</v>
      </c>
    </row>
    <row r="43" spans="1:10" x14ac:dyDescent="0.3">
      <c r="A43" s="27">
        <v>40502</v>
      </c>
      <c r="B43" s="55" t="s">
        <v>135</v>
      </c>
    </row>
    <row r="44" spans="1:10" x14ac:dyDescent="0.3">
      <c r="A44" s="27">
        <v>40502</v>
      </c>
      <c r="B44" s="55" t="s">
        <v>136</v>
      </c>
    </row>
    <row r="45" spans="1:10" x14ac:dyDescent="0.3">
      <c r="A45" s="27">
        <v>40502</v>
      </c>
      <c r="B45" s="55" t="s">
        <v>133</v>
      </c>
    </row>
    <row r="46" spans="1:10" x14ac:dyDescent="0.3">
      <c r="A46" s="27">
        <v>40502</v>
      </c>
      <c r="B46" s="55" t="s">
        <v>83</v>
      </c>
    </row>
    <row r="47" spans="1:10" x14ac:dyDescent="0.3">
      <c r="A47" s="27">
        <v>40502</v>
      </c>
      <c r="B47" s="55" t="s">
        <v>86</v>
      </c>
    </row>
    <row r="48" spans="1:10" x14ac:dyDescent="0.3">
      <c r="A48" s="27">
        <v>40502</v>
      </c>
      <c r="B48" s="55" t="s">
        <v>83</v>
      </c>
    </row>
    <row r="49" spans="1:2" x14ac:dyDescent="0.3">
      <c r="A49" s="27">
        <v>40502</v>
      </c>
      <c r="B49" s="55" t="s">
        <v>134</v>
      </c>
    </row>
    <row r="50" spans="1:2" x14ac:dyDescent="0.3">
      <c r="A50" s="27">
        <v>40503</v>
      </c>
      <c r="B50" s="55" t="s">
        <v>134</v>
      </c>
    </row>
    <row r="51" spans="1:2" x14ac:dyDescent="0.3">
      <c r="A51" s="27">
        <v>40503</v>
      </c>
      <c r="B51" s="55" t="s">
        <v>135</v>
      </c>
    </row>
    <row r="52" spans="1:2" x14ac:dyDescent="0.3">
      <c r="A52" s="27">
        <v>40504</v>
      </c>
      <c r="B52" s="55" t="s">
        <v>136</v>
      </c>
    </row>
    <row r="53" spans="1:2" x14ac:dyDescent="0.3">
      <c r="A53" s="27">
        <v>40504</v>
      </c>
      <c r="B53" s="55" t="s">
        <v>136</v>
      </c>
    </row>
    <row r="54" spans="1:2" x14ac:dyDescent="0.3">
      <c r="A54" s="27">
        <v>40504</v>
      </c>
      <c r="B54" s="55" t="s">
        <v>137</v>
      </c>
    </row>
    <row r="55" spans="1:2" x14ac:dyDescent="0.3">
      <c r="A55" s="27">
        <v>40505</v>
      </c>
      <c r="B55" s="55" t="s">
        <v>137</v>
      </c>
    </row>
    <row r="56" spans="1:2" x14ac:dyDescent="0.3">
      <c r="A56" s="27">
        <v>40505</v>
      </c>
      <c r="B56" s="55" t="s">
        <v>133</v>
      </c>
    </row>
  </sheetData>
  <sortState ref="J36:J41">
    <sortCondition ref="J36"/>
  </sortState>
  <conditionalFormatting sqref="A37:B56">
    <cfRule type="expression" dxfId="1" priority="1">
      <formula>$A37=$A$34</formula>
    </cfRule>
  </conditionalFormatting>
  <dataValidations count="2">
    <dataValidation type="list" allowBlank="1" showInputMessage="1" showErrorMessage="1" sqref="A27">
      <formula1>$C$27:$C$29</formula1>
    </dataValidation>
    <dataValidation type="list" allowBlank="1" showInputMessage="1" showErrorMessage="1" sqref="A34">
      <formula1>$J$36:$J$41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24"/>
  <sheetViews>
    <sheetView zoomScale="85" zoomScaleNormal="85" workbookViewId="0"/>
  </sheetViews>
  <sheetFormatPr defaultRowHeight="14.4" x14ac:dyDescent="0.3"/>
  <cols>
    <col min="1" max="1" width="45.6640625" customWidth="1"/>
    <col min="2" max="2" width="15.6640625" bestFit="1" customWidth="1"/>
    <col min="3" max="3" width="1" customWidth="1"/>
    <col min="4" max="4" width="18.5546875" bestFit="1" customWidth="1"/>
    <col min="5" max="5" width="11.88671875" bestFit="1" customWidth="1"/>
    <col min="6" max="6" width="14.5546875" customWidth="1"/>
  </cols>
  <sheetData>
    <row r="1" spans="1:5" x14ac:dyDescent="0.3">
      <c r="A1" s="8" t="s">
        <v>159</v>
      </c>
    </row>
    <row r="3" spans="1:5" x14ac:dyDescent="0.3">
      <c r="A3" s="57" t="s">
        <v>149</v>
      </c>
      <c r="B3" s="3" t="s">
        <v>142</v>
      </c>
      <c r="D3" s="57" t="s">
        <v>141</v>
      </c>
      <c r="E3" s="57" t="s">
        <v>142</v>
      </c>
    </row>
    <row r="4" spans="1:5" x14ac:dyDescent="0.3">
      <c r="A4" s="53" t="s">
        <v>145</v>
      </c>
      <c r="B4" s="4">
        <f>LOOKUP(2^15,SEARCH($D$4:$D$7,A4),$E$4:$E$7)</f>
        <v>499854</v>
      </c>
      <c r="D4" s="1" t="s">
        <v>143</v>
      </c>
      <c r="E4" s="1">
        <v>499854</v>
      </c>
    </row>
    <row r="5" spans="1:5" x14ac:dyDescent="0.3">
      <c r="A5" s="53" t="s">
        <v>152</v>
      </c>
      <c r="B5" s="4">
        <f t="shared" ref="B5:B8" si="0">LOOKUP(2^15,SEARCH($D$4:$D$7,A5),$E$4:$E$7)</f>
        <v>525669</v>
      </c>
      <c r="D5" s="1" t="s">
        <v>147</v>
      </c>
      <c r="E5" s="1">
        <v>846966</v>
      </c>
    </row>
    <row r="6" spans="1:5" x14ac:dyDescent="0.3">
      <c r="A6" s="53" t="s">
        <v>146</v>
      </c>
      <c r="B6" s="4" t="e">
        <f t="shared" si="0"/>
        <v>#N/A</v>
      </c>
      <c r="D6" s="1" t="s">
        <v>148</v>
      </c>
      <c r="E6" s="1">
        <v>342000</v>
      </c>
    </row>
    <row r="7" spans="1:5" x14ac:dyDescent="0.3">
      <c r="A7" s="53" t="s">
        <v>150</v>
      </c>
      <c r="B7" s="4">
        <f t="shared" si="0"/>
        <v>342000</v>
      </c>
      <c r="D7" s="1" t="s">
        <v>144</v>
      </c>
      <c r="E7" s="1">
        <v>525669</v>
      </c>
    </row>
    <row r="8" spans="1:5" x14ac:dyDescent="0.3">
      <c r="A8" s="53" t="s">
        <v>151</v>
      </c>
      <c r="B8" s="4">
        <f t="shared" si="0"/>
        <v>846966</v>
      </c>
    </row>
    <row r="12" spans="1:5" x14ac:dyDescent="0.3">
      <c r="A12" s="30" t="s">
        <v>102</v>
      </c>
      <c r="B12" s="4" t="e">
        <f>REPT("!",2^15)</f>
        <v>#VALUE!</v>
      </c>
    </row>
    <row r="13" spans="1:5" x14ac:dyDescent="0.3">
      <c r="A13" s="30" t="s">
        <v>103</v>
      </c>
      <c r="B13" s="4" t="str">
        <f>REPT("!",2^15-1)</f>
        <v>!!!!!!!!!!!!!!!!!!!!!!!!!!!!!!!!!!!!!!!!!!!!!!!!!!!!!!!!!!!!!!!!!!!!!!!!!!!!!!!!!!!!!!!!!!!!!!!!!!!!!!!!!!!!!!!!!!!!!!!!!!!!!!!!!!!!!!!!!!!!!!!!!!!!!!!!!!!!!!!!!!!!!!!!!!!!!!!!!!!!!!!!!!!!!!!!!!!!!!!!!!!!!!!!!!!!!!!!!!!!!!!!!!!!!!!!!!!!!!!!!!!!!!!!!!!!!!!!!!!!!!!!!!!!!!!!!!!!!!!!!!!!!!!!!!!!!!!!!!!!!!!!!!!!!!!!!!!!!!!!!!!!!!!!!!!!!!!!!!!!!!!!!!!!!!!!!!!!!!!!!!!!!!!!!!!!!!!!!!!!!!!!!!!!!!!!!!!!!!!!!!!!!!!!!!!!!!!!!!!!!!!!!!!!!!!!!!!!!!!!!!!!!!!!!!!!!!!!!!!!!!!!!!!!!!!!!!!!!!!!!!!!!!!!!!!!!!!!!!!!!!!!!!!!!!!!!!!!!!!!!!!!!!!!!!!!!!!!!!!!!!!!!!!!!!!!!!!!!!!!!!!!!!!!!!!!!!!!!!!!!!!!!!!!!!!!!!!!!!!!!!!!!!!!!!!!!!!!!!!!!!!!!!!!!!!!!!!!!!!!!!!!!!!!!!!!!!!!!!!!!!!!!!!!!!!!!!!!!!!!!!!!!!!!!!!!!!!!!!!!!!!!!!!!!!!!!!!!!!!!!!!!!!!!!!!!!!!!!!!!!!!!!!!!!!!!!!!!!!!!!!!!!!!!!!!!!!!!!!!!!!!!!!!!!!!!!!!!!!!!!!!!!!!!!!!!!!!!!!!!!!!!!!!!!!!!!!!!!!!!!!!!!!!!!!!!!!!!!!!!!!!!!!!!!!!!!!!!!!!!!!!!!!!!!!!!!!!!!!!!!!!!!!!!!!!!!!!!!!!!!!!!!!!!!!!!!!!!!!!!!!!!!!!!!!!!!!!!!!!!!!!!!!!!!!!!!!!!!!!!!!!!!!!!!!!!!!!!!!!!!!!!!!!!!!!!!!!!!!!!!!!!!!!!!!!!!!!!!!!!!!!!!!!!!!!!!!!!!!!!!!!!!!!!!!!!!!!!!!!!!!!!!!!!!!!!!!!!!!!!!!!!!!!!!!!!!!!!!!!!!!!!!!!!!!!!!!!!!!!!!!!!!!!!!!!!!!!!!!!!!!!!!!!!!!!!!!!!!!!!!!!!!!!!!!!!!!!!!!!!!!!!!!!!!!!!!!!!!!!!!!!!!!!!!!!!!!!!!!!!!!!!!!!!!!!!!!!!!!!!!!!!!!!!!!!!!!!!!!!!!!!!!!!!!!!!!!!!!!!!!!!!!!!!!!!!!!!!!!!!!!!!!!!!!!!!!!!!!!!!!!!!!!!!!!!!!!!!!!!!!!!!!!!!!!!!!!!!!!!!!!!!!!!!!!!!!!!!!!!!!!!!!!!!!!!!!!!!!!!!!!!!!!!!!!!!!!!!!!!!!!!!!!!!!!!!!!!!!!!!!!!!!!!!!!!!!!!!!!!!!!!!!!!!!!!!!!!!!!!!!!!!!!!!!!!!!!!!!!!!!!!!!!!!!!!!!!!!!!!!!!!!!!!!!!!!!!!!!!!!!!!!!!!!!!!!!!!!!!!!!!!!!!!!!!!!!!!!!!!!!!!!!!!!!!!!!!!!!!!!!!!!!!!!!!!!!!!!!!!!!!!!!!!!!!!!!!!!!!!!!!!!!!!!!!!!!!!!!!!!!!!!!!!!!!!!!!!!!!!!!!!!!!!!!!!!!!!!!!!!!!!!!!!!!!!!!!!!!!!!!!!!!!!!!!!!!!!!!!!!!!!!!!!!!!!!!!!!!!!!!!!!!!!!!!!!!!!!!!!!!!!!!!!!!!!!!!!!!!!!!!!!!!!!!!!!!!!!!!!!!!!!!!!!!!!!!!!!!!!!!!!!!!!!!!!!!!!!!!!!!!!!!!!!!!!!!!!!!!!!!!!!!!!!!!!!!!!!!!!!!!!!!!!!!!!!!!!!!!!!!!!!!!!!!!!!!!!!!!!!!!!!!!!!!!!!!!!!!!!!!!!!!!!!!!!!!!!!!!!!!!!!!!!!!!!!!!!!!!!!!!!!!!!!!!!!!!!!!!!!!!!!!!!!!!!!!!!!!!!!!!!!!!!!!!!!!!!!!!!!!!!!!!!!!!!!!!!!!!!!!!!!!!!!!!!!!!!!!!!!!!!!!!!!!!!!!!!!!!!!!!!!!!!!!!!!!!!!!!!!!!!!!!!!!!!!!!!!!!!!!!!!!!!!!!!!!!!!!!!!!!!!!!!!!!!!!!!!!!!!!!!!!!!!!!!!!!!!!!!!!!!!!!!!!!!!!!!!!!!!!!!!!!!!!!!!!!!!!!!!!!!!!!!!!!!!!!!!!!!!!!!!!!!!!!!!!!!!!!!!!!!!!!!!!!!!!!!!!!!!!!!!!!!!!!!!!!!!!!!!!!!!!!!!!!!!!!!!!!!!!!!!!!!!!!!!!!!!!!!!!!!!!!!!!!!!!!!!!!!!!!!!!!!!!!!!!!!!!!!!!!!!!!!!!!!!!!!!!!!!!!!!!!!!!!!!!!!!!!!!!!!!!!!!!!!!!!!!!!!!!!!!!!!!!!!!!!!!!!!!!!!!!!!!!!!!!!!!!!!!!!!!!!!!!!!!!!!!!!!!!!!!!!!!!!!!!!!!!!!!!!!!!!!!!!!!!!!!!!!!!!!!!!!!!!!!!!!!!!!!!!!!!!!!!!!!!!!!!!!!!!!!!!!!!!!!!!!!!!!!!!!!!!!!!!!!!!!!!!!!!!!!!!!!!!!!!!!!!!!!!!!!!!!!!!!!!!!!!!!!!!!!!!!!!!!!!!!!!!!!!!!!!!!!!!!!!!!!!!!!!!!!!!!!!!!!!!!!!!!!!!!!!!!!!!!!!!!!!!!!!!!!!!!!!!!!!!!!!!!!!!!!!!!!!!!!!!!!!!!!!!!!!!!!!!!!!!!!!!!!!!!!!!!!!!!!!!!!!!!!!!!!!!!!!!!!!!!!!!!!!!!!!!!!!!!!!!!!!!!!!!!!!!!!!!!!!!!!!!!!!!!!!!!!!!!!!!!!!!!!!!!!!!!!!!!!!!!!!!!!!!!!!!!!!!!!!!!!!!!!!!!!!!!!!!!!!!!!!!!!!!!!!!!!!!!!!!!!!!!!!!!!!!!!!!!!!!!!!!!!!!!!!!!!!!!!!!!!!!!!!!!!!!!!!!!!!!!!!!!!!!!!!!!!!!!!!!!!!!!!!!!!!!!!!!!!!!!!!!!!!!!!!!!!!!!!!!!!!!!!!!!!!!!!!!!!!!!!!!!!!!!!!!!!!!!!!!!!!!!!!!!!!!!!!!!!!!!!!!!!!!!!!!!!!!!!!!!!!!!!!!!!!!!!!!!!!!!!!!!!!!!!!!!!!!!!!!!!!!!!!!!!!!!!!!!!!!!!!!!!!!!!!!!!!!!!!!!!!!!!!!!!!!!!!!!!!!!!!!!!!!!!!!!!!!!!!!!!!!!!!!!!!!!!!!!!!!!!!!!!!!!!!!!!!!!!!!!!!!!!!!!!!!!!!!!!!!!!!!!!!!!!!!!!!!!!!!!!!!!!!!!!!!!!!!!!!!!!!!!!!!!!!!!!!!!!!!!!!!!!!!!!!!!!!!!!!!!!!!!!!!!!!!!!!!!!!!!!!!!!!!!!!!!!!!!!!!!!!!!!!!!!!!!!!!!!!!!!!!!!!!!!!!!!!!!!!!!!!!!!!!!!!!!!!!!!!!!!!!!!!!!!!!!!!!!!!!!!!!!!!!!!!!!!!!!!!!!!!!!!!!!!!!!!!!!!!!!!!!!!!!!!!!!!!!!!!!!!!!!!!!!!!!!!!!!!!!!!!!!!!!!!!!!!!!!!!!!!!!!!!!!!!!!!!!!!!!!!!!!!!!!!!!!!!!!!!!!!!!!!!!!!!!!!!!!!!!!!!!!!!!!!!!!!!!!!!!!!!!!!!!!!!!!!!!!!!!!!!!!!!!!!!!!!!!!!!!!!!!!!!!!!!!!!!!!!!!!!!!!!!!!!!!!!!!!!!!!!!!!!!!!!!!!!!!!!!!!!!!!!!!!!!!!!!!!!!!!!!!!!!!!!!!!!!!!!!!!!!!!!!!!!!!!!!!!!!!!!!!!!!!!!!!!!!!!!!!!!!!!!!!!!!!!!!!!!!!!!!!!!!!!!!!!!!!!!!!!!!!!!!!!!!!!!!!!!!!!!!!!!!!!!!!!!!!!!!!!!!!!!!!!!!!!!!!!!!!!!!!!!!!!!!!!!!!!!!!!!!!!!!!!!!!!!!!!!!!!!!!!!!!!!!!!!!!!!!!!!!!!!!!!!!!!!!!!!!!!!!!!!!!!!!!!!!!!!!!!!!!!!!!!!!!!!!!!!!!!!!!!!!!!!!!!!!!!!!!!!!!!!!!!!!!!!!!!!!!!!!!!!!!!!!!!!!!!!!!!!!!!!!!!!!!!!!!!!!!!!!!!!!!!!!!!!!!!!!!!!!!!!!!!!!!!!!!!!!!!!!!!!!!!!!!!!!!!!!!!!!!!!!!!!!!!!!!!!!!!!!!!!!!!!!!!!!!!!!!!!!!!!!!!!!!!!!!!!!!!!!!!!!!!!!!!!!!!!!!!!!!!!!!!!!!!!!!!!!!!!!!!!!!!!!!!!!!!!!!!!!!!!!!!!!!!!!!!!!!!!!!!!!!!!!!!!!!!!!!!!!!!!!!!!!!!!!!!!!!!!!!!!!!!!!!!!!!!!!!!!!!!!!!!!!!!!!!!!!!!!!!!!!!!!!!!!!!!!!!!!!!!!!!!!!!!!!!!!!!!!!!!!!!!!!!!!!!!!!!!!!!!!!!!!!!!!!!!!!!!!!!!!!!!!!!!!!!!!!!!!!!!!!!!!!!!!!!!!!!!!!!!!!!!!!!!!!!!!!!!!!!!!!!!!!!!!!!!!!!!!!!!!!!!!!!!!!!!!!!!!!!!!!!!!!!!!!!!!!!!!!!!!!!!!!!!!!!!!!!!!!!!!!!!!!!!!!!!!!!!!!!!!!!!!!!!!!!!!!!!!!!!!!!!!!!!!!!!!!!!!!!!!!!!!!!!!!!!!!!!!!!!!!!!!!!!!!!!!!!!!!!!!!!!!!!!!!!!!!!!!!!!!!!!!!!!!!!!!!!!!!!!!!!!!!!!!!!!!!!!!!!!!!!!!!!!!!!!!!!!!!!!!!!!!!!!!!!!!!!!!!!!!!!!!!!!!!!!!!!!!!!!!!!!!!!!!!!!!!!!!!!!!!!!!!!!!!!!!!!!!!!!!!!!!!!!!!!!!!!!!!!!!!!!!!!!!!!!!!!!!!!!!!!!!!!!!!!!!!!!!!!!!!!!!!!!!!!!!!!!!!!!!!!!!!!!!!!!!!!!!!!!!!!!!!!!!!!!!!!!!!!!!!!!!!!!!!!!!!!!!!!!!!!!!!!!!!!!!!!!!!!!!!!!!!!!!!!!!!!!!!!!!!!!!!!!!!!!!!!!!!!!!!!!!!!!!!!!!!!!!!!!!!!!!!!!!!!!!!!!!!!!!!!!!!!!!!!!!!!!!!!!!!!!!!!!!!!!!!!!!!!!!!!!!!!!!!!!!!!!!!!!!!!!!!!!!!!!!!!!!!!!!!!!!!!!!!!!!!!!!!!!!!!!!!!!!!!!!!!!!!!!!!!!!!!!!!!!!!!!!!!!!!!!!!!!!!!!!!!!!!!!!!!!!!!!!!!!!!!!!!!!!!!!!!!!!!!!!!!!!!!!!!!!!!!!!!!!!!!!!!!!!!!!!!!!!!!!!!!!!!!!!!!!!!!!!!!!!!!!!!!!!!!!!!!!!!!!!!!!!!!!!!!!!!!!!!!!!!!!!!!!!!!!!!!!!!!!!!!!!!!!!!!!!!!!!!!!!!!!!!!!!!!!!!!!!!!!!!!!!!!!!!!!!!!!!!!!!!!!!!!!!!!!!!!!!!!!!!!!!!!!!!!!!!!!!!!!!!!!!!!!!!!!!!!!!!!!!!!!!!!!!!!!!!!!!!!!!!!!!!!!!!!!!!!!!!!!!!!!!!!!!!!!!!!!!!!!!!!!!!!!!!!!!!!!!!!!!!!!!!!!!!!!!!!!!!!!!!!!!!!!!!!!!!!!!!!!!!!!!!!!!!!!!!!!!!!!!!!!!!!!!!!!!!!!!!!!!!!!!!!!!!!!!!!!!!!!!!!!!!!!!!!!!!!!!!!!!!!!!!!!!!!!!!!!!!!!!!!!!!!!!!!!!!!!!!!!!!!!!!!!!!!!!!!!!!!!!!!!!!!!!!!!!!!!!!!!!!!!!!!!!!!!!!!!!!!!!!!!!!!!!!!!!!!!!!!!!!!!!!!!!!!!!!!!!!!!!!!!!!!!!!!!!!!!!!!!!!!!!!!!!!!!!!!!!!!!!!!!!!!!!!!!!!!!!!!!!!!!!!!!!!!!!!!!!!!!!!!!!!!!!!!!!!!!!!!!!!!!!!!!!!!!!!!!!!!!!!!!!!!!!!!!!!!!!!!!!!!!!!!!!!!!!!!!!!!!!!!!!!!!!!!!!!!!!!!!!!!!!!!!!!!!!!!!!!!!!!!!!!!!!!!!!!!!!!!!!!!!!!!!!!!!!!!!!!!!!!!!!!!!!!!!!!!!!!!!!!!!!!!!!!!!!!!!!!!!!!!!!!!!!!!!!!!!!!!!!!!!!!!!!!!!!!!!!!!!!!!!!!!!!!!!!!!!!!!!!!!!!!!!!!!!!!!!!!!!!!!!!!!!!!!!!!!!!!!!!!!!!!!!!!!!!!!!!!!!!!!!!!!!!!!!!!!!!!!!!!!!!!!!!!!!!!!!!!!!!!!!!!!!!!!!!!!!!!!!!!!!!!!!!!!!!!!!!!!!!!!!!!!!!!!!!!!!!!!!!!!!!!!!!!!!!!!!!!!!!!!!!!!!!!!!!!!!!!!!!!!!!!!!!!!!!!!!!!!!!!!!!!!!!!!!!!!!!!!!!!!!!!!!!!!!!!!!!!!!!!!!!!!!!!!!!!!!!!!!!!!!!!!!!!!!!!!!!!!!!!!!!!!!!!!!!!!!!!!!!!!!!!!!!!!!!!!!!!!!!!!!!!!!!!!!!!!!!!!!!!!!!!!!!!!!!!!!!!!!!!!!!!!!!!!!!!!!!!!!!!!!!!!!!!!!!!!!!!!!!!!!!!!!!!!!!!!!!!!!!!!!!!!!!!!!!!!!!!!!!!!!!!!!!!!!!!!!!!!!!!!!!!!!!!!!!!!!!!!!!!!!!!!!!!!!!!!!!!!!!!!!!!!!!!!!!!!!!!!!!!!!!!!!!!!!!!!!!!!!!!!!!!!!!!!!!!!!!!!!!!!!!!!!!!!!!!!!!!!!!!!!!!!!!!!!!!!!!!!!!!!!!!!!!!!!!!!!!!!!!!!!!!!!!!!!!!!!!!!!!!!!!!!!!!!!!!!!!!!!!!!!!!!!!!!!!!!!!!!!!!!!!!!!!!!!!!!!!!!!!!!!!!!!!!!!!!!!!!!!!!!!!!!!!!!!!!!!!!!!!!!!!!!!!!!!!!!!!!!!!!!!!!!!!!!!!!!!!!!!!!!!!!!!!!!!!!!!!!!!!!!!!!!!!!!!!!!!!!!!!!!!!!!!!!!!!!!!!!!!!!!!!!!!!!!!!!!!!!!!!!!!!!!!!!!!!!!!!!!!!!!!!!!!!!!!!!!!!!!!!!!!!!!!!!!!!!!!!!!!!!!!!!!!!!!!!!!!!!!!!!!!!!!!!!!!!!!!!!!!!!!!!!!!!!!!!!!!!!!!!!!!!!!!!!!!!!!!!!!!!!!!!!!!!!!!!!!!!!!!!!!!!!!!!!!!!!!!!!!!!!!!!!!!!!!!!!!!!!!!!!!!!!!!!!!!!!!!!!!!!!!!!!!!!!!!!!!!!!!!!!!!!!!!!!!!!!!!!!!!!!!!!!!!!!!!!!!!!!!!!!!!!!!!!!!!!!!!!!!!!!!!!!!!!!!!!!!!!!!!!!!!!!!!!!!!!!!!!!!!!!!!!!!!!!!!!!!!!!!!!!!!!!!!!!!!!!!!!!!!!!!!!!!!!!!!!!!!!!!!!!!!!!!!!!!!!!!!!!!!!!!!!!!!!!!!!!!!!!!!!!!!!!!!!!!!!!!!!!!!!!!!!!!!!!!!!!!!!!!!!!!!!!!!!!!!!!!!!!!!!!!!!!!!!!!!!!!!!!!!!!!!!!!!!!!!!!!!!!!!!!!!!!!!!!!!!!!!!!!!!!!!!!!!!!!!!!!!!!!!!!!!!!!!!!!!!!!!!!!!!!!!!!!!!!!!!!!!!!!!!!!!!!!!!!!!!!!!!!!!!!!!!!!!!!!!!!!!!!!!!!!!!!!!!!!!!!!!!!!!!!!!!!!!!!!!!!!!!!!!!!!!!!!!!!!!!!!!!!!!!!!!!!!!!!!!!!!!!!!!!!!!!!!!!!!!!!!!!!!!!!!!!!!!!!!!!!!!!!!!!!!!!!!!!!!!!!!!!!!!!!!!!!!!!!!!!!!!!!!!!!!!!!!!!!!!!!!!!!!!!!!!!!!!!!!!!!!!!!!!!!!!!!!!!!!!!!!!!!!!!!!!!!!!!!!!!!!!!!!!!!!!!!!!!!!!!!!!!!!!!!!!!!!!!!!!!!!!!!!!!!!!!!!!!!!!!!!!!!!!!!!!!!!!!!!!!!!!!!!!!!!!!!!!!!!!!!!!!!!!!!!!!!!!!!!!!!!!!!!!!!!!!!!!!!!!!!!!!!!!!!!!!!!!!!!!!!!!!!!!!!!!!!!!!!!!!!!!!!!!!!!!!!!!!!!!!!!!!!!!!!!!!!!!!!!!!!!!!!!!!!!!!!!!!!!!!!!!!!!!!!!!!!!!!!!!!!!!!!!!!!!!!!!!!!!!!!!!!!!!!!!!!!!!!!!!!!!!!!!!!!!!!!!!!!!!!!!!!!!!!!!!!!!!!!!!!!!!!!!!!!!!!!!!!!!!!!!!!!!!!!!!!!!!!!!!!!!!!!!!!!!!!!!!!!!!!!!!!!!!!!!!!!!!!!!!!!!!!!!!!!!!!!!!!!!!!!!!!!!!!!!!!!!!!!!!!!!!!!!!!!!!!!!!!!!!!!!!!!!!!!!!!!!!!!!!!!!!!!!!!!!!!!!!!!!!!!!!!!!!!!!!!!!!!!!!!!!!!!!!!!!!!!!!!!!!!!!!!!!!!!!!!!!!!!!!!!!!!!!!!!!!!!!!!!!!!!!!!!!!!!!!!!!!!!!!!!!!!!!!!!!!!!!!!!!!!!!!!!!!!!!!!!!!!!!!!!!!!!!!!!!!!!!!!!!!!!!!!!!!!!!!!!!!!!!!!!!!!!!!!!!!!!!!!!!!!!!!!!!!!!!!!!!!!!!!!!!!!!!!!!!!!!!!!!!!!!!!!!!!!!!!!!!!!!!!!!!!!!!!!!!!!!!!!!!!!!!!!!!!!!!!!!!!!!!!!!!!!!!!!!!!!!!!!!!!!!!!!!!!!!!!!!!!!!!!!!!!!!!!!!!!!!!!!!!!!!!!!!!!!!!!!!!!!!!!!!!!!!!!!!!!!!!!!!!!!!!!!!!!!!!!!!!!!!!!!!!!!!!!!!!!!!!!!!!!!!!!!!!!!!!!!!!!!!!!!!!!!!!!!!!!!!!!!!!!!!!!!!!!!!!!!!!!!!!!!!!!!!!!!!!!!!!!!!!!!!!!!!!!!!!!!!!!!!!!!!!!!!!!!!!!!!!!!!!!!!!!!!!!!!!!!!!!!!!!!!!!!!!!!!!!!!!!!!!!!!!!!!!!!!!!!!!!!!!!!!!!!!!!!!!!!!!!!!!!!!!!!!!!!!!!!!!!!!!!!!!!!!!!!!!!!!!!!!!!!!!!!!!!!!!!!!!!!!!!!!!!!!!!!!!!!!!!!!!!!!!!!!!!!!!!!!!!!!!!!!!!!!!!!!!!!!!!!!!!!!!!!!!!!!!!!!!!!!!!!!!!!!!!!!!!!!!!!!!!!!!!!!!!!!!!!!!!!!!!!!!!!!!!!!!!!!!!!!!!!!!!!!!!!!!!!!!!!!!!!!!!!!!!!!!!!!!!!!!!!!!!!!!!!!!!!!!!!!!!!!!!!!!!!!!!!!!!!!!!!!!!!!!!!!!!!!!!!!!!!!!!!!!!!!!!!!!!!!!!!!!!!!!!!!!!!!!!!!!!!!!!!!!!!!!!!!!!!!!!!!!!!!!!!!!!!!!!!!!!!!!!!!!!!!!!!!!!!!!!!!!!!!!!!!!!!!!!!!!!!!!!!!!!!!!!!!!!!!!!!!!!!!!!!!!!!!!!!!!!!!!!!!!!!!!!!!!!!!!!!!!!!!!!!!!!!!!!!!!!!!!!!!!!!!!!!!!!!!!!!!!!!!!!!!!!!!!!!!!!!!!!!!!!!!!!!!!!!!!!!!!!!!!!!!!!!!!!!!!!!!!!!!!!!!!!!!!!!!!!!!!!!!!!!!!!!!!!!!!!!!!!!!!!!!!!!!!!!!!!!!!!!!!!!!!!!!!!!!!!!!!!!!!!!!!!!!!!!!!!!!!!!!!!!!!!!!!!!!!!!!!!!!!!!!!!!!!!!!!!!!!!!!!!!!!!!!!!!!!!!!!!!!!!!!!!!!!!!!!!!!!!!!!!!!!!!!!!!!!!!!!!!!!!!!!!!!!!!!!!!!!!!!!!!!!!!!!!!!!!!!!!!!!!!!!!!!!!!!!!!!!!!!!!!!!!!!!!!!!!!!!!!!!!!!!!!!!!!!!!!!!!!!!!!!!!!!!!!!!!!!!!!!!!!!!!!!!!!!!!!!!!!!!!!!!!!!!!!!!!!!!!!!!!!!!!!!!!!!!!!!!!!!!!!!!!!!!!!!!!!!!!!!!!!!!!!!!!!!!!!!!!!!!!!!!!!!!!!!!!!!!!!!!!!!!!!!!!!!!!!!!!!!!!!!!!!!!!!!!!!!!!!!!!!!!!!!!!!!!!!!!!!!!!!!!!!!!!!!!!!!!!!!!!!!!!!!!!!!!!!!!!!!!!!!!!!!!!!!!!!!!!!!!!!!!!!!!!!!!!!!!!!!!!!!!!!!!!!!!!!!!!!!!!!!!!!!!!!!!!!!!!!!!!!!!!!!!!!!!!!!!!!!!!!!!!!!!!!!!!!!!!!!!!!!!!!!!!!!!!!!!!!!!!!!!!!!!!!!!!!!!!!!!!!!!!!!!!!!!!!!!!!!!!!!!!!!!!!!!!!!!!!!!!!!!!!!!!!!!!!!!!!!!!!!!!!!!!!!!!!!!!!!!!!!!!!!!!!!!!!!!!!!!!!!!!!!!!!!!!!!!!!!!!!!!!!!!!!!!!!!!!!!!!!!!!!!!!!!!!!!!!!!!!!!!!!!!!!!!!!!!!!!!!!!!!!!!!!!!!!!!!!!!!!!!!!!!!!!!!!!!!!!!!!!!!!!!!!!!!!!!!!!!!!!!!!!!!!!!!!!!!!!!!!!!!!!!!!!!!!!!!!!!!!!!!!!!!!!!!!!!!!!!!!!!!!!!!!!!!!!!!!!!!!!!!!!!!!!!!!!!!!!!!!!!!!!!!!!!!!!!!!!!!!!!!!!!!!!!!!!!!!!!!!!!!!!!!!!!!!!!!!!!!!!!!!!!!!!!!!!!!!!!!!!!!!!!!!!!!!!!!!!!!!!!!!!!!!!!!!!!!!!!!!!!!!!!!!!!!!!!!!!!!!!!!!!!!!!!!!!!!!!!!!!!!!!!!!!!!!!!!!!!!!!!!!!!!!!!!!!!!!!!!!!!!!!!!!!!!!!!!!!!!!!!!!!!!!!!!!!!!!!!!!!!!!!!!!!!!!!!!!!!!!!!!!!!!!!!!!!!!!!!!!!!!!!!!!!!!!!!!!!!!!!!!!!!!!!!!!!!!!!!!!!!!!!!!!!!!!!!!!!!!!!!!!!!!!!!!!!!!!!!!!!!!!!!!!!!!!!!!!!!!!!!!!!!!!!!!!!!!!!!!!!!!!!!!!!!!!!!!!!!!!!!!!!!!!!!!!!!!!!!!!!!!!!!!!!!!!!!!!!!!!!!!!!!!!!!!!!!!!!!!!!!!!!!!!!!!!!!!!!!!!!!!!!!!!!!!!!!!!!!!!!!!!!!!!!!!!!!!!!!!!!!!!!!!!!!!!!!!!!!!!!!!!!!!!!!!!!!!!!!!!!!!!!!!!!!!!!!!!!!!!!!!!!!!!!!!!!!!!!!!!!!!!!!!!!!!!!!!!!!!!!!!!!!!!!!!!!!!!!!!!!!!!!!!!!!!!!!!!!!!!!!!!!!!!!!!!!!!!!!!!!!!!!!!!!!!!!!!!!!!!!!!!!!!!!!!!!!!!!!!!!!!!!!!!!!!!!!!!!!!!!!!!!!!!!!!!!!!!!!!!!!!!!!!!!!!!!!!!!!!!!!!!!!!!!!!!!!!!!!!!!!!!!!!!!!!!!!!!!!!!!!!!!!!!!!!!!!!!!!!!!!!!!!!!!!!!!!!!!!!!!!!!!!!!!!!!!!!!!!!!!!!!!!!!!!!!!!!!!!!!!!!!!!!!!!!!!!!!!!!!!!!!!!!!!!!!!!!!!!!!!!!!!!!!!!!!!!!!!!!!!!!!!!!!!!!!!!!!!!!!!!!!!!!!!!!!!!!!!!!!!!!!!!!!!!!!!!!!!!!!!!!!!!!!!!!!!!!!!!!!!!!!!!!!!!!!!!!!!!!!!!!!!!!!!!!!!!!!!!!!!!!!!!!!!!!!!!!!!!!!!!!!!!!!!!!!!!!!!!!!!!!!!!!!!!!!!!!!!!!!!!!!!!!!!!!!!!!!!!!!!!!!!!!!!!!!!!!!!!!!!!!!!!!!!!!!!!!!!!!!!!!!!!!!!!!!!!!!!!!!!!!!!!!!!!!!!!!!!!!!!!!!!!!!!!!!!!!!!!!!!!!!!!!!!!!!!!!!!!!!!!!!!!!!!!!!!!!!!!!!!!!!!!!!!!!!!!!!!!!!!!!!!!!!!!!!!!!!!!!!!!!!!!!!!!!!!!!!!!!!!!!!!!!!!!!!!!!!!!!!!!!!!!!!!!!!!!!!!!!!!!!!!!!!!!!!!!!!!!!!!!!!!!!!!!!!!!!!!!!!!!!!!!!!!!!!!!!!!!!!!!!!!!!!!!!!!!!!!!!!!!!!!!!!!!!!!!!!!!!!!!!!!!!!!!!!!!!!!!!!!!!!!!!!!!!!!!!!!!!!!!!!!!!!!!!!!!!!!!!!!!!!!!!!!!!!!!!!!!!!!!!!!!!!!!!!!!!!!!!!!!!!!!!!!!!!!!!!!!!!!!!!!!!!!!!!!!!!!!!!!!!!!!!!!!!!!!!!!!!!!!!!!!!!!!!!!!!!!!!!!!!!!!!!!!!!!!!!!!!!!!!!!!!!!!!!!!!!!!!!!!!!!!!!!!!!!!!!!!!!!!!!!!!!!!!!!!!!!!!!!!!!!!!!!!!!!!!!!!!!!!!!!!!!!!!!!!!!!!!!!!!!!!!!!!!!!!!!!!!!!!!!!!!!!!!!!!!!!!!!!!!!!!!!!!!!!!!!!!!!!!!!!!!!!!!!!!!!!!!!!!!!!!!!!!!!!!!!!!!!!!!!!!!!!!!!!!!!!!!!!!!!!!!!!!!!!!!!!!!!!!!!!!!!!!!!!!!!!!!!!!!!!!!!!!!!!!!!!!!!!!!!!!!!!!!!!!!!!!!!!!!!!!!!!!!!!!!!!!!!!!!!!!!!!!!!!!!!!!!!!!!!!!!!!!!!!!!!!!!!!!!!!!!!!!!!!!!!!!!!!!!!!!!!!!!!!!!!!!!!!!!!!!!!!!!!!!!!!!!!!!!!!!!!!!!!!!!!!!!!!!!!!!!!!!!!!!!!!!!!!!!!!!!!!!!!!!!!!!!!!!!!!!!!!!!!!!!!!!!!!!!!!!!!!!!!!!!!!!!!!!!!!!!!!!!!!!!!!!!!!!!!!!!!!!!!!!!!!!!!!!!!!!!!!!!!!!!!!!!!!!!!!!!!!!!!!!!!!!!!!!!!!!!!!!!!!!!!!!!!!!!!!!!!!!!!!!!!!!!!!!!!!!!!!!!!!!!!!!!!!!!!!!!!!!!!!!!!!!!!!!!!!!!!!!!!!!!!!!!!!!!!!!!!!!!!!!!!!!!!!!!!!!!!!!!!!!!!!!!!!!!!!!!!!!!!!!!!!!!!!!!!!!!!!!!!!!!!!!!!!!!!!!!!!!!!!!!!!!!!!!!!!!!!!!!!!!!!!!!!!!!!!!!!!!!!!!!!!!!!!!!!!!!!!!!!!!!!!!!!!!!!!!!!!!!!!!!!!!!!!!!!!!!!!!!!!!!!!!!!!!!!!!!!!!!!!!!!!!!!!!!!!!!!!!!!!!!!!!!!!!!!!!!!!!!!!!!!!!!!!!!!!!!!!!!!!!!!!!!!!!!!!!!!!!!!!!!!!!!!!!!!!!!!!!!!!!!!!!!!!!!!!!!!!!!!!!!!!!!!!!!!!!!!!!!!!!!!!!!!!!!!!!!!!!!!!!!!!!!!!!!!!!!!!!!!!!!!!!!!!!!!!!!!!!!!!!!!!!!!!!!!!!!!!!!!!!!!!!!!!!!!!!!!!!!!!!!!!!!!!!!!!!!!!!!!!!!!!!!!!!!!!!!!!!!!!!!!!!!!!!!!!!!!!!!!!!!!!!!!!!!!!!!!!!!!!!!!!!!!!!!!!!!!!!!!!!!!!!!!!!!!!!!!!!!!!!!!!!!!!!!!!!!!!!!!!!!!!!!!!!!!!!!!!!!!!!!!!!!!!!!!!!!!!!!!!!!!!!!!!!!!!!!!!!!!!!!!!!!!!!!!!!!!!!!!!!!!!!!!!!!!!!!!!!!!!!!!!!!!!!!!!!!!!!!!!!!!!!!!!!!!!!!!!!!!!!!!!!!!!!!!!!!!!!!!!!!!!!!!!!!!!!!!!!!!!!!!!!!!!!!!!!!!!!!!!!!!!!!!!!!!!!!!!!!!!!!!!!!!!!!!!!!!!!!!!!!!!!!!!!!!!!!!!!!!!!!!!!!!!!!!!!!!!!!!!!!!!!!!!!!!!!!!!!!!!!!!!!!!!!!!!!!!!!!!!!!!!!!!!!!!!!!!!!!!!!!!!!!!!!!!!!!!!!!!!!!!!!!!!!!!!!!!!!!!!!!!!!!!!!!!!!!!!!!!!!!!!!!!!!!!!!!!!!!!!!!!!!!!!!!!!!!!!!!!!!!!!!!!!!!!!!!!!!!!!!!!!!!!!!!!!!!!!!!!!!!!!!!!!!!!!!!!!!!!!!!!!!!!!!!!!!!!!!!!!!!!!!!!!!!!!!!!!!!!!!!!!!!!!!!!!!!!!!!!!!!!!!!!!!!!!!!!!!!!!!!!!!!!!!!!!!!!!!!!!!!!!!!!!!!!!!!!!!!!!!!!!!!!!!!!!!!!!!!!!!!!!!!!!!!!!!!!!!!!!!!!!!!!!!!!!!!!!!!!!!!!!!!!!!!!!!!!!!!!!!!!!!!!!!!!!!!!!!!!!!!!!!!!!!!!!!!!!!!!!!!!!!!!!!!!!!!!!!!!!!!!!!!!!!!!!!!!!!!!!!!!!!!!!!!!!!!!!!!!!!!!!!!!!!!!!!!!!!!!!!!!!!!!!!!!!!!!!!!!!!!!!!!!!!!!!!!!!!!!!!!!!!!!!!!!!!!!!!!!!!!!!!!!!!!!!!!!!!!!!!!!!!!!!!!!!!!!!!!!!!!!!!!!!!!!!!!!!!!!!!!!!!!!!!!!!!!!!!!!!!!!!!!!!!!!!!!!!!!!!!!!!!!!!!!!!!!!!!!!!!!!!!!!!!!!!!!!!!!!!!!!!!!!!!!!!!!!!!!!!!!!!!!!!!!!!!!!!!!!!!!!!!!!!!!!!!!!!!!!!!!!!!!!!!!!!!!!!!!!!!!!!!!!!!!!!!!!!!!!!!!!!!!!!!!!!!!!!!!!!!!!!!!!!!!!!!!!!!!!!!!!!!!!!!!!!!!!!!!!!!!!!!!!!!!!!!!!!!!!!!!!!!!!!!!!!!!!!!!!!!!!!!!!!!!!!!!!!!!!!!!!!!!!!!!!!!!!!!!!!!!!!!!!!!!!!!!!!!!!!!!!!!!!!!!!!!!!!!!!!!!!!!!!!!!!!!!!!!!!!!!!!!!!!!!!!!!!!!!!!!!!!!!!!!!!!!!!!!!!!!!!!!!!!!!!!!!!!!!!!!!!!!!!!!!!!!!!!!!!!!!!!!!!!!!!!!!!!!!!!!!!!!!!!!!!!!!!!!!!!!!!!!!!!!!!!!!!!!!!!!!!!!!!!!!!!!!!!!!!!!!!!!!!!!!!!!!!!!!!!!!!!!!!!!!!!!!!!!!!!!!!!!!!!!!!!!!!!!!!!!!!!!!!!!!!!!!!!!!!!!!!!!!!!!!!!!!!!!!!!!!!!!!!!!!!!!!!!!!!!!!!!!!!!!!!!!!!!!!!!!!!!!!!!!!!!!!!!!!!!!!!!!!!!!!!!!!!!!!!!!!!!!!!!!!!!!!!!!!!!!!!!!!!!!!!!!!!!!!!!!!!!!!!!!!!!!!!!!!!!!!!!!!!!!!!!!!!!!!!!!!!!!!!!!!!!!!!!!!!!!!!!!!!!!!!!!!!!!!!!!!!!!!!!!!!!!!!!!!!!!!!!!!!!!!!!!!!!!!!!!!!!!!!!!!!!!!!!!!!!!!!!!!!!!!!!!!!!!!!!!!!!!!!!!!!!!!!!!!!!!!!!!!!!!!!!!!!!!!!!!!!!!!!!!!!!!!!!!!!!!!!!!!!!!!!!!!!!!!!!!!!!!!!!!!!!!!!!!!!!!!!!!!!!!!!!!!!!!!!!!!!!!!!!!!!!!!!!!!!!!!!!!!!!!!!!!!!!!!!!!!!!!!!!!!!!!!!!!!!!!!!!!!!!!!!!!!!!!!!!!!!!!!!!!!!!!!!!!!!!!!!!!!!!!!!!!!!!!!!!!!!!!!!!!!!!!!!!!!!!!!!!!!!!!!!!!!!!!!!!!!!!!!!!!!!!!!!!!!!!!!!!!!!!!!!!!!!!!!!!!!!!!!!!!!!!!!!!!!!!!!!!!!!!!!!!!!!!!!!!!!!!!!!!!!!!!!!!!!!!!!!!!!!!!!!!!!!!!!!!!!!!!!!!!!!!!!!!!!!!!!!!!!!!!!!!!!!!!!!!!!!!!!!!!!!!!!!!!!!!!!!!!!!!!!!!!!!!!!!!!!!!!!!!!!!!!!!!!!!!!!!!!!!!!!!!!!!!!!!!!!!!!!!!!!!!!!!!!!!!!!!!!!!!!!!!!!!!!!!!!!!!!!!!!!!!!!!!!!!!!!!!!!!!!!!!!!!!!!!!!!!!!!!!!!!!!!!!!!!!!!!!!!!!!!!!!!!!!!!!!!!!!!!!!!!!!!!!!!!!!!!!!!!!!!!!!!!!!!!!!!!!!!!!!!!!!!!!!!!!!!!!!!!!!!!!!!!!!!!!!!!!!!!!!!!!!!!!!!!!!!!!!!!!!!!!!!!!!!!!!!!!!!!!!!!!!!!!!!!!!!!!!!!!!!!!!!!!!!!!!!!!!!!!!!!!!!!!!!!!!!!!!!!!!!!!!!!!!!!!!!!!!!!!!!!!!!!!!!!!!!!!!!!!!!!!!!!!!!!!!!!!!!!!!!!!!!!!!!!!!!!!!!!!!!!!!!!!!!!!!!!!!!!!!!!!!!!!!!!!!!!!!!!!!!!!!!!!!!!!!!!!!!!!!!!!!!!!!!!!!!!!!!!!!!!!!!!!!!!!!!!!!!!!!!!!!!!!!!!!!!!!!!!!!!!!!!!!!!!!!!!!!!!!!!!!!!!!!!!!!!!!!!!!!!!!!!!!!!!!!!!!!!!!!!!!!!!!!!!!!!!!!!!!!!!!!!!!!!!!!!!!!!!!!!!!!!!!!!!!!!!!!!!!!!!!!!!!!!!!!!!!!!!!!!!!!!!!!!!!!!!!!!!!!!!!!!!!!!!!!!!!!!!!!!!!!!!!!!!!!!!!!!!!!!!!!!!!!!!!!!!!!!!!!!!!!!!!!!!!!!!!!!!!!!!!!!!!!!!!!!!!!!!!!!!!!!!!!!!!!!!!!!!!!!!!!!!!!!!!!!!!!!!!!!!!!!!!!!!!!!!!!!!!!!!!!!!!!!!!!!!!!!!!!!!!!!!!!!!!!!!!!!!!!!!!!!!!!!!!!!!!!!!!!!!!!!!!!!!!!!!!!!!!!!!!!!!!!!!!!!!!!!!!!!!!!!!!!!!!!!!!!!!!!!!!!!!!!!!!!!!!!!!!!!!!!!!!!!!!!!!!!!!!!!!!!!!!!!!!!!!!!!!!!!!!!!!!!!!!!!!!!!!!!!!!!!!!!!!!!!!!!!!!!!!!!!!!!!!!!!!!!!!!!!!!!!!!!!!!!!!!!!!!!!!!!!!!!!!!!!!!!!!!!!!!!!!!!!!!!!!!!!!!!!!!!!!!!!!!!!!!!!!!!!!!!!!!!!!!!!!!!!!!!!!!!!!!!!!!!!!!!!!!!!!!!!!!!!!!!!!!!!!!!!!!!!!!!!!!!!!!!!!!!!!!!!!!!!!!!!!!!!!!!!!!!!!!!!!!!!!!!!!!!!!!!!!!!!!!!!!!!!!!!!!!!!!!!!!!!!!!!!!!!!!!!!!!!!!!!!!!!!!!!!!!!!!!!!!!!!!!!!!!!!!!!!!!!!!!!!!!!!!!!!!!!!!!!!!!!!!!!!!!!!!!!!!!!!!!!!!!!!!!!!!!!!!!!!!!!!!!!!!!!!!!!!!!!!!!!!!!!!!!!!!!!!!!!!!!!!!!!!!!!!!!!!!!!!!!!!!!!!!!!!!!!!!!!!!!!!!!!!!!!!!!!!!!!!!!!!!!!!!!!!!!!!!!!!!!!!!!!!!!!!!!!!!!!!!!!!!!!!!!!!!!!!!!!!!!!!!!!!!!!!!!!!!!!!!!!!!!!!!!!!!!!!!!!!!!!!!!!!!!!!!!!!!!!!!!!!!!!!!!!!!!!!!!!!!!!!!!!!!!!!!!!!!!!!!!!!!!!!!!!!!!!!!!!!!!!!!!!!!!!!!!!!!!!!!!!!!!!!!!!!!!!!!!!!!!!!!!!!!!!!!!!!!!!!!!!!!!!!!!!!!!!!!!!!!!!!!!!!!!!!!!!!!!!!!!!!!!!!!!!!!!!!!!!!!!!!!!!!!!!!!!!!!!!!!!!!!!!!!!!!!!!!!!!!!!!!!!!!!!!!!!!!!!!!!!!!!!!!!!!!!!!!!!!!!!!!!!!!!!!!!!!!!!!!!!!!!!!!!!!!!!!!!!!!!!!!!!!!!!!!!!!!!!!!!!!!!!!!!!!!!!!!!!!!!!!!!!!!!!!!!!!!!!!!!!!!!!!!!!!!!!!!!!!!!!!!!!!!!!!!!!!!!!!!!!!!!!!!!!!!!!!!!!!!!!!!!!!!!!!!!!!!!!!!!!!!!!!!!!!!!!!!!!!!!!!!!!!!!!!!!!!!!!!!!!!!!!!!!!!!!!!!!!!!!!!!!!!!!!!!!!!!!!!!!!!!!!!!!!!!!!!!!!!!!!!!!!!!!!!!!!!!!!!!!!!!!!!!!!!!!!!!!!!!!!!!!!!!!!!!!!!!!!!!!!!!!!!!!!!!!!!!!!!!!!!!!!!!!!!!!!!!!!!!!!!!!!!!!!!!!!!!!!!!!!!!!!!!!!!!!!!!!!!!!!!!!!!!!!!!!!!!!!!!!!!!!!!!!!!!!!!!!!!!!!!!!!!!!!!!!!!!!!!!!!!!!!!!!!!!!!!!!!!!!!!!!!!!!!!!!!!!!!!!!!!!!!!!!!!!!!!!!!!!!!!!!!!!!!!!!!!!!!!!!!!!!!!!!!!!!!!!!!!!!!!!!!!!!!!!!!!!!!!!!!!!!!!!!!!!!!!!!!!!!!!!!!!!!!!!!!!!!!!!!!!!!!!!!!!!!!!!!!!!!!!!!!!!!!!!!!!!!!!!!!!!!!!!!!!!!!!!!!!!!!!!!!!!!!!!!!!!!!!!!!!!!!!!!!!!!!!!!!!!!!!!!!!!!!!!!!!!!!!!!!!!!!!!!!!!!!!!!!!!!!!!!!!!!!!!!!!!!!!!!!!!!!!!!!!!!!!!!!!!!!!!!!!!!!!!!!!!!!!!!!!!!!!!!!!!!!!!!!!!!!!!!!!!!!!!!!!!!!!!!!!!!!!!!!!!!!!!!!!!!!!!!!!!!!!!!!!!!!!!!!!!!!!!!!!!!!!!!!!!!!!!!!!!!!!!!!!!!!!!!!!!!!!!!!!!!!!!!!!!!!!!!!!!!!!!!!!!!!!!!!!!!!!!!!!!!!!!!!!!!!!!!!!!!!!!!!!!!!!!!!!!!!!!!!!!!!!!!!!!!!!!!!!!!!!!!!!!!!!!!!!!!!!!!!!!!!!!!!!!!!!!!!!!!!!!!!!!!!!!!!!!!!!!!!!!!!!!!!!!!!!!!!!!!!!!!!!!!!!!!!!!!!!!!!!!!!!!!!!!!!!!!!!!!!!!!!!!!!!!!!!!!!!!!!!!!!!!!!!!!!!!!!!!!!!!!!!!!!!!!!!!!!!!!!!!!!!!!!!!!!!!!!!!!!!!!!!!!!!!!!!!!!!!!!!!!!!!!!!!!!!!!!!!!!!!!!!!!!!!!!!!!!!!!!!!!!!!!!!!!!!!!!!!!!!!!!!!!!!!!!!!!!!!!!!!!!!!!!!!!!!!!!!!!!!!!!!!!!!!!!!!!!!!!!!!!!!!!!!!!!!!!!!!!!!!!!!!!!!!!!!!!!!!!!!!!!!!!!!!!!!!!!!!!!!!!!!!!!!!!!!!!!!!!!!!!!!!!!!!!!!!!!!!!!!!!!!!!!!!!!!!!!!!!!!!!!!!!!!!!!!!!!!!!!!!!!!!!!!!!!!!!!!!!!!!!!!!!!!!!!!!!!!!!!!!!!!!!!!!!!!!!!!!!!!!!!!!!!!!!!!!!!!!!!!!!!!!!!!!!!!!!!!!!!!!!!!!!!!!!!!!!!!!!!!!!!!!!!!!!!!!!!!!!!!!!!!!!!!!!!!!!!!!!!!!!!!!!!!!!!!!!!!!!!!!!!!!!!!!!!!!!!!!!!!!!!!!!!!!!!!!!!!!!!!!!!!!!!!!!!!!!!!!!!!!!!!!!!!!!!!!!!!!!!!!!!!!!!!!!!!!!!!!!!!!!!!!!!!!!!!!!!!!!!!!!!!!!!!!!!!!!!!!!!!!!!!!!!!!!!!!!!!!!!!!!!!!!!!!!!!!!!!!!!!!!!!!!!!!!!!!!!!!!!!!!!!!!!!!!!!!!!!!!!!!!!!!!!!!!!!!!!!!!!!!!!!!!!!!!!!!!!!!!!!!!!!!!!!!!!!!!!!!!!!!!!!!!!!!!!!!!!!!!!!!!!!!!!!!!!!!!!!!!!!!!!!!!!!!!!!!!!!!!!!!!!!!!!!!!!!!!!!!!!!!!!!!!!!!!!!!!!!!!!!!!!!!!!!!!!!!!!!!!!!!!!!!!!!!!!!!!!!!!!!!!!!!!!!!!!!!!!!!!!!!!!!!!!!!!!!!!!!!!!!!!!!!!!!!!!!!!!!!!!!!!!!!!!!!!!!!!!!!!!!!!!!!!!!!!!!!!!!!!!!!!!!!!!!!!!!!!!!!!!!!!!!!!!!!!!!!!!!!!!!!!!!!!!!!!!!!!!!!!!!!!!!!!!!!!!!!!!!!!!!!!!!!!!!!!!!!!!!!!!!!!!!!!!!!!!!!!!!!!!!!!!!!!!!!!!!!!!!!!!!!!!!!!!!!!!!!!!!!!!!!!!!!!!!!!!!!!!!!!!!!!!!!!!!!!!!!!!!!!!!!!!!!!!!!!!!!!!!!!!!!!!!!!!!!!!!!!!!!!!!!!!!!!!!!!!!!!!!!!!!!!!!!!!!!!!!!!!!!!!!!!!!!!!!!!!!!!!!!!!!!!!!!!!!!!!!!!!!!!!!!!!!!!!!!!!!!!!!!!!!!!!!!!!!!!!!!!!!!!!!!!!!!!!!!!!!!!!!!!!!!!!!!!!!!!!!!!!!!!!!!!!!!!!!!!!!!!!!!!!!!!!!!!!!!!!!!!!!!!!!!!!!!!!!!!!!!!!!!!!!!!!!!!!!!!!!!!!!!!!!!!!!!!!!!!!!!!!!!!!!!!!!!!!!!!!!!!!!!!!!!!!!!!!!!!!!!!!!!!!!!!!!!!!!!!!!!!!!!!!!!!!!!!!!!!!!!!!!!!!!!!!!!!!!!!!!!!!!!!!!!!!!!!!!!!!!!!!!!!!!!!!!!!!!!!!!!!!!!!!!!!!!!!!!!!!!!!!!!!!!!!!!!!!!!!!!!!!!!!!!!!!!!!!!!!!!!!!!!!!!!!!!!!!!!!!!!!!!!!!!!!!!!!!!!!!!!!!!!!!!!!!!!!!!!!!!!!!!!!!!!!!!!!!!!!!!!!!!!!!!!!!!!!!!!!!!!!!!!!!!!!!!!!!!!!!!!!!!!!!!!!!!!!!!!!!!!!!!!!!!!!!!!!!!!!!!!!!!!!!!!!!!!!!!!!!!!!!!!!!!!!!!!!!!!!!!!!!!!!!!!!!!!!!!!!!!!!!!!!!!!!!!!!!!!!!!!!!!!!!!!!!!!!!!!!!!!!!!!!!!!!!!!!!!!!!!!!!!!!!!!!!!!!!!!!!!!!!!!!!!!!!!!!!!!!!!!!!!!!!!!!!!!!!!!!!!!!!!!!!!!!!!!!!!!!!!!!!!!!!!!!!!!!!!!!!!!!!!!!!!!!!!!!!!!!!!!!!!!!!!!!!!!!!!!!!!!!!!!!!!!!!!!!!!!!!!!!!!!!!!!!!!!!!!!!!!!!!!!!!!!!!!!!!!!!!!!!!!!!!!!!!!!!!!!!!!!!!!!!!!!!!!!!!!!!!!!!!!!!!!!!!!!!!!!!!!!!!!!!!!!!!!!!!!!!!!!!!!!!!!!!!!!!!!!!!!!!!!!!!!!!!!!!!!!!!!!!!!!!!!!!!!!!!!!!!!!!!!!!!!!!!!!!!!!!!!!!!!!!!!!!!!!!!!!!!!!!!!!!!!!!!!!!!!!!!!!!!!!!!!!!!!!!!!!!!!!!!!!!!!!!!!!!!!!!!!!!!!!!!!!!!!!!!!!!!!!!!!!!!!!!!!!!!!!!!!!!!!!!!!!!!!!!!!!!!!!!!!!!!!!!!!!!!!!!!!!!!!!!!!!!!!!!!!!!!!!!!!!!!!!!!!!!!!!!!!!!!!!!!!!!!!!!!!!!!!!!!!!!!!!!!!!!!!!!!!!!!!!!!!!!!!!!!!!!!!!!!!!!!!!!!!!!!!!!!!!!!!!!!!!!!!!!!!!!!!!!!!!!!!!!!!!!!!!!!!!!!!!!!!!!!!!!!!!!!!!!!!!!!!!!!!!!!!!!!!!!!!!!!!!!!!!!!!!!!!!!!!!!!!!!!!!!!!!!!!!!!!!!!!!!!!!!!!!!!!!!!!!!!!!!!!!!!!!!!!!!!!!!!!!!!!!!!!!!!!!!!!!!!!!!!!!!!!!!!!!!!!!!!!!!!!!!!!!!!!!!!!!!!!!!!!!!!!!!!!!!!!!!!!!!!!!!!!!!!!!!!!!!!!!!!!!!!!!!!!!!!!!!!!!!!!!!!!!!!!!!!!!!!!!!!!!!!!!!!!!!!!!!!!!!!!!!!!!!!!!!!!!!!!!!!!!!!!!!!!!!!!!!!!!!!!!!!!!!!!!!!!!!!!!!!!!!!!!!!!!!!!!!!!!!!!!!!!!!!!!!!!!!!!!!!!!!!!!!!!!!!!!!!!!!!!!!!!!!!!!!!!!!!!!!!!!!!!!!!!!!!!!!!!!!!!!!!!!!!!!!!!!!!!!!!!!!!!!!!!!!!!!!!!!!!!!!!!!!!!!!!!!!!!!!!!!!!!!!!!!!!!!!!!!!!!!!!!!!!!!!!!!!!!!!!!!!!!!!!!!!!!!!!!!!!!!!!!!!!!!!!!!!!!!!!!!!!!!!!!!!!!!!!!!!!!!!!!!!!!!!!!!!!!!!!!!!!!!!!!!!!!!!!!!!!!!!!!!!!!!!!!!!!!!!!!!!!!!!!!!!!!!!!!!!!!!!!!!!!!!!!!!!!!!!!!!!!!!!!!!!!!!!!!!!!!!!!!!!!!!!!!!!!!!!!!!!!!!!!!!!!!!!!!!!!!!!!!!!!!!!!!!!!!!!!!!!!!!!!!!!!!!!!!!!!!!!!!!!!!!!!!!!!!!!!!!!!!!!!!!!!!!!!!!!!!!!!!!!!!!!!!!!!!!!!!!!!!!!!!!!!!!!!!!!!!!!!!!!!!!!!!!!!!!!!!!!!!!!!!!!!!!!!!!!!!!!!!!!!!!!!!!!!!!!!!!!!!!!!!!!!!!!!!!!!!!!!!!!!!!!!!!!!!!!!!!!!!!!!!!!!!!!!!!!!!!!!!!!!!!!!!!!!!!!!!!!!!!!!!!!!!!!!!!!!!!!!!!!!!!!!!!!!!!!!!!!!!!!!!!!!!!!!!!!!!!!!!!!!!!!!!!!!!!!!!!!!!!!!!!!!!!!!!!!!!!!!!!!!!!!!!!!!!!!!!!!!!!!!!!!!!!!!!!!!!!!!!!!!!!!!!!!!!!!!!!!!!!!!!!!!!!!!!!!!!!!!!!!!!!!!!!!!!!!!!!!!!!!!!!!!!!!!!!!!!!!!!!!!!!!!!!!!!!!!!!!!!!!!!!!!!!!!!!!!!!!!!!!!!!!!!!!!!!!!!!!!!!!!!!!!!!!!!!!!!!!!!!!!!!!!!!!!!!!!!!!!!!!!!!!!!!!!!!!!!!!!!!!!!!!!!!!!!!!!!!!!!!!!!!!!!!!!!!!!!!!!!!!!!!!!!!!!!!!!!!!!!!!!!!!!!!!!!!!!!!!!!!!!!!!!!!!!!!!!!!!!!!!!!!!!!!!!!!!!!!!!!!!!!!!!!!!!!!!!!!!!!!!!!!!!!!!!!!!!!!!!!!!!!!!!!!!!!!!!!!!!!!!!!!!!!!!!!!!!!!!!!!!!!!!!!!!!!!!!!!!!!!!!!!!!!!!!!!!!!!!!!!!!!!!!!!!!!!!!!!!!!!!!!!!!!!!!!!!!!!!!!!!!!!!!!!!!!!!!!!!!!!!!!!!!!!!!!!!!!!!!!!!!!!!!!!!!!!!!!!!!!!!!!!!!!!!!!!!!!!!!!!!!!!!!!!!!!!!!!!!!!!!!!!!!!!!!!!!!!!!!!!!!!!!!!!!!!!!!!!!!!!!!!!!!!!!!!!!!!!!!!!!!!!!!!!!!!!!!!!!!!!!!!!!!!!!!!!!!!!!!!!!!!!!!!!!!!!!!!!!!!!!!!!!!!!!!!!!!!!!!!!!!!!!!!!!!!!!!!!!!!!!!!!!!!!!!!!!!!!!!!!!!!!!!!!!!!!!!!!!!!!!!!!!!!!!!!!!!!!!!!!!!!!!!!!!!!!!!!!!!!!!!!!!!!!!!!!!!!!!!!!!!!!!!!!!!!!!!!!!!!!!!!!!!!!!!!!!!!!!!!!!!!!!!!!!!!!!!!!!!!!!!!!!!!!!!!!!!!!!!!!!!!!!!!!!!!!!!!!!!!!!!!!!!!!!!!!!!!!!!!!!!!!!!!!!!!!!!!!!!!!!!!!!!!!!!!!!!!!!!!!!!!!!!!!!!!!!!!!!!!!!!!!!!!!!!!!!!!!!!!!!!!!!!!!!!!!!!!!!!!!!!!!!!!!!!!!!!!!!!!!!!!!!!!!!!!!!!!!!!!!!!!!!!!!!!!!!!!!!!!!!!!!!!!!!!!!!!!!!!!!!!!!!!!!!!!!!!!!!!!!!!!!!!!!!!!!!!!!!!!!!!!!!!!!!!!!!!!!!!!!!!!!!!!!!!!!!!!!!!!!!!!!!!!!!!!!!!!!!!!!!!!!!!!!!!!!!!!!!!!!!!!!!!!!!!!!!!!!!!!!!!!!!!!!!!!!!!!!!!!!!!!!!!!!!!!!!!!!!!!!!!!!!!!!!!!!!!!!!!!!!!!!!!!!!!!!!!!!!!!!!!!!!!!!!!!!!!!!!!!!!!!!!!!!!!!!!!!!!!!!!!!!!!!!!!!!!!!!!!!!!!!!!!!!!!!!!!!!!!!!!!!!!!!!!!!!!!!!!!!!!!!!!!!!!!!!!!!!!!!!!!!!!!!!!!!!!!!!!!!!!!!!!!!!!!!!!!!!!!!!!!!!!!!!!!!!!!!!!!!!!!!!!!!!!!!!!!!!!!!!!!!!!!!!!!!!!!!!!!!!!!!!!!!!!!!!!!!!!!!!!!!!!!!!!!!!!!!!!!!!!!!!!!!!!!!!!!!!!!!!!!!!!!!!!!!!!!!!!!!!!!!!!!!!!!!!!!!!!!!!!!!!!!!!!!!!!!!!!!!!!!!!!!!!!!!!!!!!!!!!!!!!!!!!!!!!!!!!!!!!!!!!!!!!!!!!!!!!!!!!!!!!!!!!!!!!!!!!!!!!!!!!!!!!!!!!!!!!!!!!!!!!!!!!!!!!!!!!!!!!!!!!!!!!!!!!!!!!!!!!!!!!!!!!!!!!!!!!!!!!!!!!!!!!!!!!!!!!!!!!!!!!!!!!!!!!!!!!!!!!!!!!!!!!!!!!!!!!!!!!!!!!!!!!!!!!!!!!!!!!!!!!!!!!!!!!!!!!!!!!!!!!!!!!!!!!!!!!!!!!!!!!!!!!!!!!!!!!!!!!!!!!!!!!!!!!!!!!!!!!!!!!!!!!!!!!!!!!!!!!!!!!!!!!!!!!!!!!!!!!!!!!!!!!!!!!!!!!!!!!!!!!!!!!!!!!!!!!!!!!!!!!!!!!!!!!!!!!!!!!!!!!!!!!!!!!!!!!!!!!!!!!!!!!!!!!!!!!!!!!!!!!!!!!!!!!!!!!!!!!!!!!!!!!!!!!!!!!!!!!!!!!!!!!!!!!!!!!!!!!!!!!!!!!!!!!!!!!!!!!!!!!!!!!!!!!!!!!!!!!!!!!!!!!!!!!!!!!!!!!!!!!!!!!!!!!!!!!!!!!!!!!!!!!!!!!!!!!!!!!!!!!!!!!!!!!!!!!!!!!!!!!!!!!!!!!!!!!!!!!!!!!!!!!!!!!!!!!!!!!!!!!!!!!!!!!!!!!!!!!!!!!!!!!!!!!!!!!!!!!!!!!!!!!!!!!!!!!!!!!!!!!!!!!!!!!!!!!!!!!!!!!!!!!!!!!!!!!!!!!!!!!!!!!!!!!!!!!!!!!!!!!!!!!!!!!!!!!!!!!!!!!!!!!!!!!!!!!!!!!!!!!!!!!!!!!!!!!!!!!!!!!!!!!!!!!!!!!!!!!!!!!!!!!!!!!!!!!!!!!!!!!!!!!!!!!!!!!!!!!!!!!!!!!!!!!!!!!!!!!!!!!!!!!!!!!!!!!!!!!!!!!!!!!!!!!!!!!!!!!!!!!!!!!!!!!!!!!!!!!!!!!!!!!!!!!!!!!!!!!!!!!!!!!!!!!!!!!!!!!!!!!!!!!!!!!!!!!!!!!!!!!!!!!!!!!!!!!!!!!!!!!!!!!!!!!!!!!!!!!!!!!!!!!!!!!!!!!!!!!!!!!!!!!!!!!!!!!!!!!!!!!!!!!!!!!!!!!!!!!!!!!!!!!!!!!!!!!!!!!!!!!!!!!!!!!!!!!!!!!!!!!!!!!!!!!!!!!!!!!!!!!!!!!!!!!!!!!!!!!!!!!!!!!!!!!!!!!!!!!!!!!!!!!!!!!!!!!!!!!!!!!!!!!!!!!!!!!!!!!!!!!!!!!!!!!!!!!!!!!!!!!!!!!!!!!!!!!!!!!!!!!!!!!!!!!!!!!!!!!!!!!!!!!!!!!!!!!!!!!!!!!!!!!!!!!!!!!!!!!!!!!!!!!!!!!!!!!!!!!!!!!!!!!!!!!!!!!!!!!!!!!!!!!!!!!!!!!!!!!!!!!!!!!!!!!!!!!!!!!!!!!!!!!!!!!!!!!!!!!!!!!!!!!!!!!!!!!!!!!!!!!!!!!!!!!!!!!!!!!!!!!!!!!!!!!!!!!!!!!!!!!!!!!!!!!!!!!!!!!!!!!!!!!!!!!!!!!!!!!!!!!!!!!!!!!!!!!!!!!!!!!!!!!!!!!!!!!!!!!!!!!!!!!!!!!!!!!!!!!!!!!!!!!!!!!!!!!!!!!!!!!!!!!!!!!!!!!!!!!!!!!!!!!!!!!!!!!!!!!!!!!!!!!!!!!!!!!!!!!!!!!!!!!!!!!!!!!!!!!!!!!!!!!!!!!!!!!!!!!!!!!!!!!!!!!!!!!!!!!!!!!!!!!!!!!!!!!!!!!!!!!!!!!!!!!!!!!!!!!!!!!!!!!!!!!!!!!!!!!!!!!!!!!!!!!!!!!!!!!!!!!!!!!!!!!!!!!!!!!!!!!!!!!!!!!!!!!!!!!!!!!!!!!!!!!!!!!!!!!!!!!!!!!!!!!!!!!!!!!!!!!!!!!!!!!!!!!!!!!!!!!!!!!!!!!!!!!!!!!!!!!!!!!!!!!!!!!!!!!!!!!!!!!!!!!!!!!!!!!!!!!!!!!!!!!!!!!!!!!!!!!!!!!!!!!!!!!!!!!!!!!!!!!!!!!!!!!!!!!!!!!!!!!!!!!!!!!!!!!!!!!!!!!!!!!!!!!!!!!!!!!!!!!!!!!!!!!!!!!!!!!!!!!!!!!!!!!!!!!!!!!!!!!!!!!!!!!!!!!!!!!!!!!!!!!!!!!!!!!!!!!!!!!!!!!!!!!!!!!!!!!!!!!!!!!!!!!!!!!!!!!!!!!!!!!!!!!!!!!!!!!!!!!!!!!!!!!!!!!!!!!!!!!!!!!!!!!!!!!!!!!!!!!!!!!!!!!!!!!!!!!!!!!!!!!!!!!!!!!!!!!!!!!!!!!!!!!!!!!!!!!!!!!!!!!!!!!!!!!!!!!!!!!!!!!!!!!!!!!!!!!!!!!!!!!!!!!!!!!!!!!!!!!!!!!!!!!!!!!!!!!!!!!!!!!!!!!!!!!!!!!!!!!!!!!!!!!!!!!!!!!!!!!!!!!!!!!!!!!!!!!!!!!!!!!!!!!!!!!!!!!!!!!!!!!!!!!!!!!!!!!!!!!!!!!!!!!!!!!!!!!!!!!!!!!!!!!!!!!!!!!!!!!!!!!!!!!!!!!!!!!!!!!!!!!!!!!!!!!!!!!!!!!!!!!!!!!!!!!!!!!!!!!!!!!!!!!!!!!!!!!!!!!!!!!!!!!!!!!!!!!!!!!!!!!!!!!!!!!!!!!!!!!!!!!!!!!!!!!!!!!!!!!!!!!!!!!!!!!!!!!!!!!!!!!!!!!!!!!!!!!!!!!!!!!!!!!!!!!!!!!!!!!!!!!!!!!!!!!!!!!!!!!!!!!!!!!!!!!!!!!!!!!!!!!!!!!!!!!!!!!!!!!!!!!!!!!!!!!!!!!!!!!!!!!!!!!!!!!!!!!!!!!!!!!!!!!!!!!!!!!!!!!!!!!!!!!!!!!!!!!!!!!!!!!!!!!!!!!!!!!!!!!!!!!!!!!!!!!!!!!!!!!!!!!!!!!!!!!!!!!!!!!!!!!!!!!!!!!!!!!!!!!!!!!!!!!!!!!!!!!!!!!!!!!!!!!!!!!!!!!!!!!!!!!!!!!!!!!!!!!!!!!!!!!!!!!!!!!!!!!!!!!!!!!!!!!!!!!!!!!!!!!!!!!!!!!!!!!!!!!!!!!!!!!!!!!!!!!!!!!!!!!!!!!!!!!!!!!!!!!!!!!!!!!!!!!!!!!!!!!!!!!!!!!!!!!!!!!!!!!!!!!!!!!!!!!!!!!!!!!!!!!!!!!!!!!!!!!!!!!!!!!!!!!!!!!!!!!!!!!!!!!!!!!!!!!!!!!!!!!!!!!!!!!!!!!!!!!!!!!!!!!!!!!!!!!!!!!!!!!!!!!!!!!!!!!!!!!!!!!!!!!!!!!!!!!!!!!!!!!!!!!!!!!!!!!!!!!!!!!!!!!!!!!!!!!!!!!!!!!!!!!!!!!!!!!!!!!!!!!!!!!!!!!!!!!!!!!!!!!!!!!!!!!!!!!!!!!!!!!!!!!!!!!!!!!!!!!!!!!!!!!!!!!!!!!!!!!!!!!!!!!!!!!!!!!!!!!!!!!!!!!!!!!!!!!!!!!!!!!!!!!!!!!!!!!!!!!!!!!!!!!!!!!!!!!!!!!!!!!!!!!!!!!!!!!!!!!!!!!!!!!!!!!!!!!!!!!!!!!!!!!!!!!!!!!!!!!!!!!!!!!!!!!!!!!!!!!!!!!!!!!!!!!!!!!!!!!!!!!!!!!!!!!!!!!!!!!!!!!!!!!!!!!!!!!!!!!!!!!!!!!!!!!!!!!!!!!!!!!!!!!!!!!!!!!!!!!!!!!!!!!!!!!!!!!!!!!!!!!!!!!!!!!!!!!!!!!!!!!!!!!!!!!!!!!!!!!!!!!!!!!!!!!!!!!!!!!!!!!!!!!!!!!!!!!!!!!!!!!!!!!!!!!!!!!!!!!!!!!!!!!!!!!!!!!!!!!!!!!!!!!!!!!!!!!!!!!!!!!!!!!!!!!!!!!!!!!!!!!!!!!!!!!!!!!!!!!!!!!!!!!!!!!!!!!!!!!!!!!!!!!!!!!!!!!!!!!!!!!!!!!!!!!!!!!!!!!!!!!!!!!!!!!!!!!!!!!!!!!!!!!!!!!!!!!!!!!!!!!!!!!!!!!!!!!!!!!!!!!!!!!!!!!!!!!!!!!!!!!!!!!!!!!!!!!!!!!!!!!!!!!!!!!!!!!!!!!!!!!!!!!!!!!!!!!!!!!!!!!!!!!!!!!!!!!!!!!!!!!!!!!!!!!!!!!!!!!!!!!!!!!!!!!!!!!!!!!!!!!!!!!!!!!!!!!!!!!!!!!!!!!!!!!!!!!!!!!!!!!!!!!!!!!!!!!!!!!!!!!!!!!!!!!!!!!!!!!!!!!!!!!!!!!!!!!!!!!!!!!!!!!!!!!!!!!!!!!!!!!!!!!!!!!!!!!!!!!!!!!!!!!!!!!!!!!!!!!!!!!!!!!!!!!!!!!!!!!!!!!!!!!!!!!!!!!!!!!!!!!!!!!!!!!!!!!!!!!!!!!!!!!!!!!!!!!!!!!!!!!!!!!!!!!!!!!!!!!!!!!!!!!!!!!!!!!!!!!!!!!!!!!!!!!!!!!!!!!!!!!!!!!!!!!!!!!!!!!!!!!!!!!!!!!!!!!!!!!!!!!!!!!!!!!!!!!!!!!!!!!!!!!!!!!!!!!!!!!!!!!!!!!!!!!!!!!!!!!!!!!!!!!!!!!!!!!!!!!!!!!!!!!!!!!!!!!!!!!!!!!!!!!!!!!!!!!!!!!!!!!!!!!!!!!!!!!!!!!!!!!!!!!!!!!!!!!!!!!!!!!!!!!!!!!!!!!!!!!!!!!!!!!!!!!!!!!!!!!!!!!!!!!!!!!!!!!!!!!!!!!!!!!!!!!!!!!!!!!!!!!!!!!!!!!!!!!!!!!!!!!!!!!!!!!!!!!!!!!!!!!!!!!!!!!!!!!!!!!!!!!!!!!!!!!!!!!!!!!!!!!!!!!!!!!!!!!!!!!!!!!!!!!!!!!!!!!!!!!!!!!!!!!!!!!!!!!!!!!!!!!!!!!!!!!!!!!!!!!!!!!!!!!!!!!!!!!!!!!!!!!!!!!!!!!!!!!!!!!!!!!!!!!!!!!!!!!!!!!!!!!!!!!!!!!!!!!!!!!!!!!!!!!!!!!!!!!!!!!!!!!!!!!!!!!!!!!!!!!!!!!!!!!!!!!!!!!!!!!!!!!!!!!!!!!!!!!!!!!!!!!!!!!!!!!!!!!!!!!!!!!!!!!!!!!!!!!!!!!!!!!!!!!!!!!!!!!!!!!!!!!!!!!!!!!!!!!!!!!!!!!!!!!!!!!!!!!!!!!!!!!!!!!!!!!!!!!!!!!!!!!!!!!!!!!!!!!!!!!!!!!!!!!!!!!!!!!!!!!!!!!!!!!!!!!!!!!!!!!!!!!!!!!!!!!!!!!!!!!!!!!!!!!!!!!!!!!!!!!!!!!!!!!!!!!!!!!!!!!!!!!!!!!!!!!!!!!!!!!!!!!!!!!!!!!!!!!!!!!!!!!!!!!!!!!!!!!!!!!!!!!!!!!!!!!!!!!!!!!!!!!!!!!!!!!!!!!!!!!!!!!!!!!!!!!!!!!!!!!!!!!!!!!!!!!!!!!!!!!!!!!!!!!!!!!!!!!!!!!!!!!!!!!!!!!!!!!!!!!!!!!!!!!!!!!!!!!!!!!!!!!!!!!!!!!!!!!!!!!!!!!!!!!!!!!!!!!!!!!!!!!!!!!!!!!!!!!!!!!!!!!!!!!!!!!!!!!!!!!!!!!!!!!!!!!!!!!!!!!!!!!!!!!!!!!!!!!!!!!!!!!!!!!!!!!!!!!!!!!!!!!!!!!!!!!!!!!!!!!!!!!!!!!!!!!!!!!!!!!!!!!!!!!!!!!!!!!!!!!!!!!!!!!!!!!!!!!!!!!!!!!!!!!!!!!!!!!!!!!!!!!!!!!!!!!!!!!!!!!!!!!!!!!!!!!!!!!!!!!!!!!!!!!!!!!!!!!!!!!!!!!!!!!!!!!!!!!!!!!!!!!!!!!!!!!!!!!!!!!!!!!!!!!!!!!!!!!!!!!!!!!!!!!!!!!!!!!!!!!!!!!!!!!!!!!!!!!!!!!!!!!!!!!!!!!!!!!!!!!!!!!!!!!!!!!!!!!!!!!!!!!!!!!!!!!!!!!!!!!!!!!!!!!!!!!!!!!!!!!!!!!!!!!!!!!!!!!!!!!!!!!!!!!!!!!!!!!!!!!!!!!!!!!!!!!!!!!!!!!!!!!!!!!!!!!!!!!!!!!!!!!!!!!!!!!!!!!!!!!!!!!!!!!!!!!!!!!!!!!!!!!!!!!!!!!!!!!!!!!!!!!!!!!!!!!!!!!!!!!!!!!!!!!!!!!!!!!!!!!!!!!!!!!!!!!!!!!!!!!!!!!!!!!!!!!!!!!!!!!!!!!!!!!!!!!!!!!!!!!!!!!!!!!!!!!!!!!!!!!!!!!!!!!!!!!!!!!!!!!!!!!!!!!!!!!!!!!!!!!!!!!!!!!!!!!!!!!!!!!!!!!!!!!!!!!!!!!!!!!!!!!!!!!!!!!!!!!!!!!!!!!!!!!!!!!!!!!!!!!!!!!!!!!!!!!!!!!!!!!!!!!!!!!!!!!!!!!!!!!!!!!!!!!!!!!!!!!!!!!!!!!!!!!!!!!!!!!!!!!!!!!!!!!!!!!!!!!!!!!!!!!!!!!!!!!!!!!!!!!!!!!!!!!!!!!!!!!!!!!!!!!!!!!!!!!!!!!!!!!!!!!!!!!!!!!!!!!!!!!!!!!!!!!!!!!!!!!!!!!!!!!!!!!!!!!!!!!!!!!!!!!!!!!!!!!!!!!!!!!!!!!!!!!!!!!!!!!!!!!!!!!!!!!!!!!!!!!!!!!!!!!!!!!!!!!!!!!!!!!!!!!!!!!!!!!!!!!!!!!!!!!!!!!!!!!!!!!!!!!!!!!!!!!!!!!!!!!!!!!!!!!!!!!!!!!!!!!!!!!!!!!!!!!!!!!!!!!!!!!!!!!!!!!!!!!!!!!!!!!!!!!!!!!!!!!!!!!!!!!!!!!!!!!!!!!!!!!!!!!!!!!!!!!!!!!!!!!!!!!!!!!!!!!!!!!!!!!!!!!!!!!!!!!!!!!!!!!!!!!!!!!!!!!!!!!!!!!!!!!!!!!!!!!!!!!!!!!!!!!!!!!!!!!!!!!!!!!!!!!!!!!!!!!!!!!!!!!!!!!!!!!!!!!!!!!!!!!!!!!!!!!!!!!!!!!!!!!!!!!!!!!!!!!!!!!!!!!!!!!!!!!!!!!!!!!!!!!!!!!!!!!!!!!!!!!!!!!!!!!!!!!!!!!!!!!!!!!!!!!!!!!!!!!!!!!!!!!!!!!!!!!!!!!!!!!!!!!!!!!!!!!!!!!!!!!!!!!!!!!!!!!!!!!!!!!!!!!!!!!!!!!!!!!!!!!!!!!!!!!!!!!!!!!!!!!!!!!!!!!!!!!!!!!!!!!!!!!!!!!!!!!!!!!!!!!!!!!!!!!!!!!!!!!!!!!!!!!!!!!!!!!!!!!!!!!!!!!!!!!!!!!!!!!!!!!!!!!!!!!!!!!!!!!!!!!!!!!!!!!!!!!!!!!!!!!!!!!!!!!!!!!!!!!!!!!!!!!!!!!!!!!!!!!!!!!!!!!!!!!!!!!!!!!!!!!!!!!!!!!!!!!!!!!!!!!!!!!!!!!!!!!!!!!!!!!!!!!!!!!!!!!!!!!!!!!!!!!!!!!!!!!!!!!!!!!!!!!!!!!!!!!!!!!!!!!!!!!!!!!!!!!!!!!!!!!!!!!!!!!!!!!!!!!!!!!!!!!!!!!!!!!!!!!!!!!!!!!!!!!!!!!!!!!!!!!!!!!!!!!!!!!!!!!!!!!!!!!!!!!!!!!!!!!!!!!!!!!!!!!!!!!!!!!!!!!!!!!!!!!!!!!!!!!!!!!!!!!!!!!!!!!</v>
      </c>
    </row>
    <row r="14" spans="1:5" ht="28.8" x14ac:dyDescent="0.3">
      <c r="A14" s="31" t="str">
        <f>"2^15 = "&amp;TEXT(2^15,"#,##")&amp;", which is one character more than the number of characters allowed in a cell."</f>
        <v>2^15 = 32,768, which is one character more than the number of characters allowed in a cell.</v>
      </c>
      <c r="B14" s="32"/>
      <c r="C14" s="32"/>
      <c r="D14" s="33"/>
    </row>
    <row r="15" spans="1:5" ht="43.2" x14ac:dyDescent="0.3">
      <c r="A15" s="31" t="s">
        <v>104</v>
      </c>
      <c r="B15" s="32"/>
      <c r="C15" s="32"/>
      <c r="D15" s="33"/>
    </row>
    <row r="17" spans="1:2" x14ac:dyDescent="0.3">
      <c r="A17" s="8" t="s">
        <v>111</v>
      </c>
    </row>
    <row r="19" spans="1:2" x14ac:dyDescent="0.3">
      <c r="A19" s="34" t="s">
        <v>105</v>
      </c>
      <c r="B19" s="35" t="s">
        <v>140</v>
      </c>
    </row>
    <row r="20" spans="1:2" ht="43.2" x14ac:dyDescent="0.3">
      <c r="A20" s="36" t="s">
        <v>106</v>
      </c>
      <c r="B20" s="4" t="str">
        <f>LOOKUP(2^15,SEARCH({"Top Load","Front Load"},A20),{"Top Load","Front Load"})</f>
        <v>Top Load</v>
      </c>
    </row>
    <row r="21" spans="1:2" ht="28.8" x14ac:dyDescent="0.3">
      <c r="A21" s="36" t="s">
        <v>107</v>
      </c>
      <c r="B21" s="4" t="str">
        <f>LOOKUP(2^15,SEARCH({"Top Load","Front Load"},A21),{"Top Load","Front Load"})</f>
        <v>Top Load</v>
      </c>
    </row>
    <row r="22" spans="1:2" x14ac:dyDescent="0.3">
      <c r="A22" s="36" t="s">
        <v>108</v>
      </c>
      <c r="B22" s="4" t="e">
        <f>LOOKUP(2^15,SEARCH({"Top Load","Front Load"},A22),{"Top Load","Front Load"})</f>
        <v>#N/A</v>
      </c>
    </row>
    <row r="23" spans="1:2" ht="43.2" x14ac:dyDescent="0.3">
      <c r="A23" s="36" t="s">
        <v>109</v>
      </c>
      <c r="B23" s="4" t="e">
        <f>LOOKUP(2^15,SEARCH({"Top Load","Front Load"},A23),{"Top Load","Front Load"})</f>
        <v>#N/A</v>
      </c>
    </row>
    <row r="24" spans="1:2" ht="57.6" x14ac:dyDescent="0.3">
      <c r="A24" s="36" t="s">
        <v>110</v>
      </c>
      <c r="B24" s="4" t="str">
        <f>LOOKUP(2^15,SEARCH({"Top Load","Front Load"},A24),{"Top Load","Front Load"})</f>
        <v>Front Load</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C13"/>
  <sheetViews>
    <sheetView zoomScaleNormal="100" workbookViewId="0">
      <selection activeCell="B3" sqref="B3"/>
    </sheetView>
  </sheetViews>
  <sheetFormatPr defaultRowHeight="14.4" x14ac:dyDescent="0.3"/>
  <cols>
    <col min="1" max="1" width="12.21875" bestFit="1" customWidth="1"/>
    <col min="2" max="2" width="15.33203125" bestFit="1" customWidth="1"/>
    <col min="3" max="3" width="12.5546875" bestFit="1" customWidth="1"/>
  </cols>
  <sheetData>
    <row r="1" spans="1:3" x14ac:dyDescent="0.3">
      <c r="A1" s="20" t="s">
        <v>62</v>
      </c>
      <c r="B1" s="20"/>
      <c r="C1" s="20"/>
    </row>
    <row r="2" spans="1:3" x14ac:dyDescent="0.3">
      <c r="A2" s="21" t="s">
        <v>46</v>
      </c>
      <c r="B2" s="21" t="s">
        <v>63</v>
      </c>
    </row>
    <row r="3" spans="1:3" x14ac:dyDescent="0.3">
      <c r="A3" s="22">
        <v>22000</v>
      </c>
      <c r="B3" s="16">
        <f>LOOKUP(A3,A7:C13)+(A3-LOOKUP(A3,A7:A13))*LOOKUP(A3,A7:B13)</f>
        <v>165</v>
      </c>
      <c r="C3" s="58">
        <f>C12+(A3-A12)*B12</f>
        <v>-755</v>
      </c>
    </row>
    <row r="4" spans="1:3" x14ac:dyDescent="0.3">
      <c r="B4" s="16">
        <f>VLOOKUP(A3,A7:C13,3)+(A3-VLOOKUP(A3,A7:C13,1))*VLOOKUP(A3,A7:C13,2)</f>
        <v>165</v>
      </c>
    </row>
    <row r="5" spans="1:3" x14ac:dyDescent="0.3">
      <c r="A5" s="23" t="s">
        <v>47</v>
      </c>
      <c r="B5" s="23"/>
      <c r="C5" s="23"/>
    </row>
    <row r="6" spans="1:3" ht="57.6" x14ac:dyDescent="0.3">
      <c r="A6" s="24" t="s">
        <v>46</v>
      </c>
      <c r="B6" s="24" t="s">
        <v>64</v>
      </c>
      <c r="C6" s="24" t="s">
        <v>65</v>
      </c>
    </row>
    <row r="7" spans="1:3" x14ac:dyDescent="0.3">
      <c r="A7" s="5">
        <v>0</v>
      </c>
      <c r="B7" s="25">
        <v>0</v>
      </c>
      <c r="C7" s="1"/>
    </row>
    <row r="8" spans="1:3" x14ac:dyDescent="0.3">
      <c r="A8" s="5">
        <v>5000</v>
      </c>
      <c r="B8" s="25">
        <v>5.0000000000000001E-3</v>
      </c>
      <c r="C8" s="1">
        <v>0</v>
      </c>
    </row>
    <row r="9" spans="1:3" x14ac:dyDescent="0.3">
      <c r="A9" s="5">
        <v>10000</v>
      </c>
      <c r="B9" s="25">
        <v>0.01</v>
      </c>
      <c r="C9" s="5">
        <f>(A9-A8)*B8+C8</f>
        <v>25</v>
      </c>
    </row>
    <row r="10" spans="1:3" x14ac:dyDescent="0.3">
      <c r="A10" s="5">
        <v>20000</v>
      </c>
      <c r="B10" s="25">
        <v>0.02</v>
      </c>
      <c r="C10" s="5">
        <f>(A10-A9)*B9+C9</f>
        <v>125</v>
      </c>
    </row>
    <row r="11" spans="1:3" x14ac:dyDescent="0.3">
      <c r="A11" s="5">
        <v>30000</v>
      </c>
      <c r="B11" s="25">
        <v>0.03</v>
      </c>
      <c r="C11" s="5">
        <f>(A11-A10)*B10+C10</f>
        <v>325</v>
      </c>
    </row>
    <row r="12" spans="1:3" x14ac:dyDescent="0.3">
      <c r="A12" s="5">
        <v>50000</v>
      </c>
      <c r="B12" s="25">
        <v>0.06</v>
      </c>
      <c r="C12" s="5">
        <f>(A12-A11)*B11+C11</f>
        <v>925</v>
      </c>
    </row>
    <row r="13" spans="1:3" x14ac:dyDescent="0.3">
      <c r="A13" s="5">
        <v>100000</v>
      </c>
      <c r="B13" s="25">
        <v>0.1</v>
      </c>
      <c r="C13" s="5">
        <f>(A13-A12)*B12+C12</f>
        <v>3925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15"/>
  <sheetViews>
    <sheetView zoomScale="115" zoomScaleNormal="115" workbookViewId="0">
      <selection activeCell="E15" sqref="E15"/>
    </sheetView>
  </sheetViews>
  <sheetFormatPr defaultRowHeight="14.4" x14ac:dyDescent="0.3"/>
  <cols>
    <col min="2" max="3" width="15.109375" bestFit="1" customWidth="1"/>
    <col min="4" max="4" width="2.6640625" customWidth="1"/>
  </cols>
  <sheetData>
    <row r="1" spans="1:5" ht="28.8" x14ac:dyDescent="0.3">
      <c r="A1" s="7" t="s">
        <v>112</v>
      </c>
      <c r="B1" s="37" t="s">
        <v>113</v>
      </c>
      <c r="C1" s="37" t="s">
        <v>114</v>
      </c>
    </row>
    <row r="2" spans="1:5" x14ac:dyDescent="0.3">
      <c r="A2" s="38">
        <v>0</v>
      </c>
      <c r="B2" s="39">
        <v>-1115000</v>
      </c>
      <c r="C2" s="39">
        <f>SUM(B$2:B2)</f>
        <v>-1115000</v>
      </c>
      <c r="E2" t="s">
        <v>115</v>
      </c>
    </row>
    <row r="3" spans="1:5" x14ac:dyDescent="0.3">
      <c r="A3" s="1">
        <v>1</v>
      </c>
      <c r="B3" s="40">
        <v>146745</v>
      </c>
      <c r="C3" s="39">
        <f>SUM(B$2:B3)</f>
        <v>-968255</v>
      </c>
    </row>
    <row r="4" spans="1:5" x14ac:dyDescent="0.3">
      <c r="A4" s="1">
        <v>2</v>
      </c>
      <c r="B4" s="40">
        <v>384393</v>
      </c>
      <c r="C4" s="39">
        <f>SUM(B$2:B4)</f>
        <v>-583862</v>
      </c>
    </row>
    <row r="5" spans="1:5" x14ac:dyDescent="0.3">
      <c r="A5" s="1">
        <v>3</v>
      </c>
      <c r="B5" s="40">
        <v>396613</v>
      </c>
      <c r="C5" s="39">
        <f>SUM(B$2:B5)</f>
        <v>-187249</v>
      </c>
    </row>
    <row r="6" spans="1:5" x14ac:dyDescent="0.3">
      <c r="A6" s="1">
        <v>4</v>
      </c>
      <c r="B6" s="40">
        <v>397113</v>
      </c>
      <c r="C6" s="39">
        <f>SUM(B$2:B6)</f>
        <v>209864</v>
      </c>
    </row>
    <row r="7" spans="1:5" x14ac:dyDescent="0.3">
      <c r="A7" s="1">
        <v>5</v>
      </c>
      <c r="B7" s="40">
        <v>309148</v>
      </c>
      <c r="C7" s="39">
        <f>SUM(B$2:B7)</f>
        <v>519012</v>
      </c>
    </row>
    <row r="8" spans="1:5" x14ac:dyDescent="0.3">
      <c r="A8" s="1">
        <v>6</v>
      </c>
      <c r="B8" s="40">
        <v>221861</v>
      </c>
      <c r="C8" s="39">
        <f>SUM(B$2:B8)</f>
        <v>740873</v>
      </c>
    </row>
    <row r="9" spans="1:5" x14ac:dyDescent="0.3">
      <c r="A9" s="1">
        <v>7</v>
      </c>
      <c r="B9" s="40">
        <v>208698.00000000003</v>
      </c>
      <c r="C9" s="39">
        <f>SUM(B$2:B9)</f>
        <v>949571</v>
      </c>
    </row>
    <row r="10" spans="1:5" x14ac:dyDescent="0.3">
      <c r="A10" s="1">
        <v>8</v>
      </c>
      <c r="B10" s="40">
        <v>428180</v>
      </c>
      <c r="C10" s="39">
        <f>SUM(B$2:B10)</f>
        <v>1377751</v>
      </c>
    </row>
    <row r="12" spans="1:5" x14ac:dyDescent="0.3">
      <c r="A12" s="1" t="s">
        <v>116</v>
      </c>
      <c r="B12" s="41">
        <f>A5-C5/B6</f>
        <v>3.4715257370068469</v>
      </c>
      <c r="C12" s="4">
        <f>IF(SUM(B3:B10)&lt;-B2,"Never",LOOKUP(0,C2:C10,A2:A10-C2:C10/B3:B10))</f>
        <v>3.4715257370068469</v>
      </c>
    </row>
    <row r="13" spans="1:5" x14ac:dyDescent="0.3">
      <c r="A13" s="1" t="s">
        <v>117</v>
      </c>
      <c r="B13" s="1">
        <v>0.2</v>
      </c>
      <c r="C13" s="42"/>
    </row>
    <row r="14" spans="1:5" x14ac:dyDescent="0.3">
      <c r="A14" s="1" t="s">
        <v>118</v>
      </c>
      <c r="B14" s="43">
        <f>NPV(B13,B3:B10)+B2</f>
        <v>51622.677623933181</v>
      </c>
      <c r="C14" s="44"/>
    </row>
    <row r="15" spans="1:5" x14ac:dyDescent="0.3">
      <c r="A15" s="1" t="s">
        <v>119</v>
      </c>
      <c r="B15" s="45">
        <f>IRR(B2:B10)</f>
        <v>0.21464481888807097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10"/>
  <sheetViews>
    <sheetView zoomScale="130" zoomScaleNormal="130" workbookViewId="0">
      <selection activeCell="E11" sqref="E11"/>
    </sheetView>
  </sheetViews>
  <sheetFormatPr defaultRowHeight="14.4" x14ac:dyDescent="0.3"/>
  <cols>
    <col min="6" max="9" width="5.77734375" bestFit="1" customWidth="1"/>
  </cols>
  <sheetData>
    <row r="1" spans="1:9" x14ac:dyDescent="0.3">
      <c r="B1" s="29" t="s">
        <v>122</v>
      </c>
      <c r="C1" s="46"/>
      <c r="D1" s="46"/>
      <c r="E1" s="47"/>
    </row>
    <row r="2" spans="1:9" x14ac:dyDescent="0.3">
      <c r="A2" s="3" t="s">
        <v>6</v>
      </c>
      <c r="B2" s="48">
        <v>0</v>
      </c>
      <c r="C2" s="48">
        <v>1</v>
      </c>
      <c r="D2" s="48">
        <v>2</v>
      </c>
      <c r="E2" s="48">
        <v>3</v>
      </c>
    </row>
    <row r="3" spans="1:9" x14ac:dyDescent="0.3">
      <c r="A3" s="49">
        <v>0</v>
      </c>
      <c r="B3" s="17">
        <f t="shared" ref="B3:E7" si="0">ROW()+COLUMN()</f>
        <v>5</v>
      </c>
      <c r="C3" s="17">
        <f t="shared" si="0"/>
        <v>6</v>
      </c>
      <c r="D3" s="17">
        <f t="shared" si="0"/>
        <v>7</v>
      </c>
      <c r="E3" s="17">
        <f t="shared" si="0"/>
        <v>8</v>
      </c>
      <c r="F3" s="1" t="b">
        <f t="shared" ref="F3:I7" si="1">$A3=LOOKUP($B$10,$A$3:$A$7)</f>
        <v>0</v>
      </c>
      <c r="G3" s="1" t="b">
        <f t="shared" si="1"/>
        <v>0</v>
      </c>
      <c r="H3" s="1" t="b">
        <f t="shared" si="1"/>
        <v>0</v>
      </c>
      <c r="I3" s="1" t="b">
        <f t="shared" si="1"/>
        <v>0</v>
      </c>
    </row>
    <row r="4" spans="1:9" x14ac:dyDescent="0.3">
      <c r="A4" s="49">
        <v>100</v>
      </c>
      <c r="B4" s="17">
        <f t="shared" si="0"/>
        <v>6</v>
      </c>
      <c r="C4" s="17">
        <f t="shared" si="0"/>
        <v>7</v>
      </c>
      <c r="D4" s="17">
        <f t="shared" si="0"/>
        <v>8</v>
      </c>
      <c r="E4" s="17">
        <f t="shared" si="0"/>
        <v>9</v>
      </c>
      <c r="F4" s="1" t="b">
        <f t="shared" si="1"/>
        <v>1</v>
      </c>
      <c r="G4" s="1" t="b">
        <f t="shared" si="1"/>
        <v>1</v>
      </c>
      <c r="H4" s="1" t="b">
        <f t="shared" si="1"/>
        <v>1</v>
      </c>
      <c r="I4" s="1" t="b">
        <f t="shared" si="1"/>
        <v>1</v>
      </c>
    </row>
    <row r="5" spans="1:9" x14ac:dyDescent="0.3">
      <c r="A5" s="49">
        <v>500</v>
      </c>
      <c r="B5" s="17">
        <f t="shared" si="0"/>
        <v>7</v>
      </c>
      <c r="C5" s="17">
        <f t="shared" si="0"/>
        <v>8</v>
      </c>
      <c r="D5" s="17">
        <f t="shared" si="0"/>
        <v>9</v>
      </c>
      <c r="E5" s="17">
        <f t="shared" si="0"/>
        <v>10</v>
      </c>
      <c r="F5" s="1" t="b">
        <f t="shared" si="1"/>
        <v>0</v>
      </c>
      <c r="G5" s="1" t="b">
        <f t="shared" si="1"/>
        <v>0</v>
      </c>
      <c r="H5" s="1" t="b">
        <f t="shared" si="1"/>
        <v>0</v>
      </c>
      <c r="I5" s="1" t="b">
        <f t="shared" si="1"/>
        <v>0</v>
      </c>
    </row>
    <row r="6" spans="1:9" x14ac:dyDescent="0.3">
      <c r="A6" s="49">
        <v>1000</v>
      </c>
      <c r="B6" s="17">
        <f t="shared" si="0"/>
        <v>8</v>
      </c>
      <c r="C6" s="17">
        <f t="shared" si="0"/>
        <v>9</v>
      </c>
      <c r="D6" s="17">
        <f t="shared" si="0"/>
        <v>10</v>
      </c>
      <c r="E6" s="17">
        <f t="shared" si="0"/>
        <v>11</v>
      </c>
      <c r="F6" s="1" t="b">
        <f t="shared" si="1"/>
        <v>0</v>
      </c>
      <c r="G6" s="1" t="b">
        <f t="shared" si="1"/>
        <v>0</v>
      </c>
      <c r="H6" s="1" t="b">
        <f t="shared" si="1"/>
        <v>0</v>
      </c>
      <c r="I6" s="1" t="b">
        <f t="shared" si="1"/>
        <v>0</v>
      </c>
    </row>
    <row r="7" spans="1:9" x14ac:dyDescent="0.3">
      <c r="A7" s="49">
        <v>2000</v>
      </c>
      <c r="B7" s="17">
        <f t="shared" si="0"/>
        <v>9</v>
      </c>
      <c r="C7" s="17">
        <f t="shared" si="0"/>
        <v>10</v>
      </c>
      <c r="D7" s="17">
        <f t="shared" si="0"/>
        <v>11</v>
      </c>
      <c r="E7" s="17">
        <f t="shared" si="0"/>
        <v>12</v>
      </c>
      <c r="F7" s="1" t="b">
        <f t="shared" si="1"/>
        <v>0</v>
      </c>
      <c r="G7" s="1" t="b">
        <f t="shared" si="1"/>
        <v>0</v>
      </c>
      <c r="H7" s="1" t="b">
        <f t="shared" si="1"/>
        <v>0</v>
      </c>
      <c r="I7" s="1" t="b">
        <f t="shared" si="1"/>
        <v>0</v>
      </c>
    </row>
    <row r="9" spans="1:9" ht="28.8" x14ac:dyDescent="0.3">
      <c r="A9" s="50" t="s">
        <v>122</v>
      </c>
      <c r="B9" s="1">
        <v>3</v>
      </c>
    </row>
    <row r="10" spans="1:9" x14ac:dyDescent="0.3">
      <c r="A10" s="51" t="s">
        <v>6</v>
      </c>
      <c r="B10" s="17">
        <v>102</v>
      </c>
    </row>
  </sheetData>
  <conditionalFormatting sqref="B3:E7">
    <cfRule type="expression" dxfId="0" priority="1">
      <formula>$A3=LOOKUP($B$10,$A$3:$A$7)</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Topics</vt:lpstr>
      <vt:lpstr>V or H</vt:lpstr>
      <vt:lpstr>L Adding</vt:lpstr>
      <vt:lpstr>Array</vt:lpstr>
      <vt:lpstr>LOOKUP LAST</vt:lpstr>
      <vt:lpstr>Lookup within TextString</vt:lpstr>
      <vt:lpstr>3 L</vt:lpstr>
      <vt:lpstr>Crazy Array</vt:lpstr>
      <vt:lpstr>CF</vt:lpstr>
      <vt:lpstr>Array!Extract</vt:lpstr>
      <vt:lpstr>'L Adding'!Extract</vt:lpstr>
      <vt:lpstr>'LOOKUP LAST'!Extract</vt:lpstr>
    </vt:vector>
  </TitlesOfParts>
  <Company>Highline Community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Girvin</dc:creator>
  <cp:lastModifiedBy>Michael Girvin</cp:lastModifiedBy>
  <dcterms:created xsi:type="dcterms:W3CDTF">2012-03-26T21:20:22Z</dcterms:created>
  <dcterms:modified xsi:type="dcterms:W3CDTF">2012-03-27T21:37:33Z</dcterms:modified>
</cp:coreProperties>
</file>