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 windowWidth="15456" windowHeight="11616"/>
  </bookViews>
  <sheets>
    <sheet name="1&amp;2" sheetId="1" r:id="rId1"/>
    <sheet name="1&amp;2 (an)" sheetId="4" r:id="rId2"/>
    <sheet name="3" sheetId="2" r:id="rId3"/>
    <sheet name="3 (an)" sheetId="8" r:id="rId4"/>
    <sheet name="4" sheetId="6" r:id="rId5"/>
    <sheet name="4 (an)" sheetId="9" r:id="rId6"/>
    <sheet name="5" sheetId="7" r:id="rId7"/>
    <sheet name="5 (an)" sheetId="10" r:id="rId8"/>
    <sheet name="xxxx" sheetId="3" state="hidden" r:id="rId9"/>
    <sheet name="6&amp;7&amp;8" sheetId="12" r:id="rId10"/>
    <sheet name="6&amp;7&amp;8 (an)" sheetId="13" r:id="rId11"/>
    <sheet name="6.5" sheetId="94" r:id="rId12"/>
    <sheet name="6.5 (an)" sheetId="95" r:id="rId13"/>
    <sheet name="9" sheetId="14" r:id="rId14"/>
    <sheet name="9 (n)" sheetId="15" r:id="rId15"/>
    <sheet name="10" sheetId="16" r:id="rId16"/>
    <sheet name="10 (an)" sheetId="17" r:id="rId17"/>
    <sheet name="11" sheetId="18" r:id="rId18"/>
    <sheet name="11 (an)" sheetId="19" r:id="rId19"/>
    <sheet name="12" sheetId="20" r:id="rId20"/>
    <sheet name="12 (an)" sheetId="21" r:id="rId21"/>
    <sheet name="12.5" sheetId="92" r:id="rId22"/>
    <sheet name="12.5 (an)" sheetId="93" r:id="rId23"/>
    <sheet name="13" sheetId="22" r:id="rId24"/>
    <sheet name="13 (an)" sheetId="23" r:id="rId25"/>
    <sheet name="14" sheetId="24" r:id="rId26"/>
    <sheet name="14 (an)" sheetId="25" r:id="rId27"/>
    <sheet name="15" sheetId="26" r:id="rId28"/>
    <sheet name="15 (an)" sheetId="104" r:id="rId29"/>
    <sheet name="16" sheetId="28" r:id="rId30"/>
    <sheet name="16 (an)" sheetId="29" r:id="rId31"/>
    <sheet name="17" sheetId="30" r:id="rId32"/>
    <sheet name="17 (an)" sheetId="31" r:id="rId33"/>
    <sheet name="18" sheetId="32" r:id="rId34"/>
    <sheet name="18 (an)" sheetId="33" r:id="rId35"/>
    <sheet name="FC" sheetId="101" r:id="rId36"/>
    <sheet name="19&amp;20" sheetId="34" r:id="rId37"/>
    <sheet name="19&amp;20 (an)" sheetId="35" r:id="rId38"/>
    <sheet name="21" sheetId="36" r:id="rId39"/>
    <sheet name="21 (an)" sheetId="37" r:id="rId40"/>
    <sheet name="CF pattern" sheetId="102" r:id="rId41"/>
    <sheet name="22" sheetId="38" r:id="rId42"/>
    <sheet name="22 (an)" sheetId="39" r:id="rId43"/>
    <sheet name="22.5" sheetId="97" r:id="rId44"/>
    <sheet name="22.5 (an)" sheetId="98" r:id="rId45"/>
    <sheet name="23" sheetId="40" r:id="rId46"/>
    <sheet name="23 (an)" sheetId="41" r:id="rId47"/>
    <sheet name="24" sheetId="42" r:id="rId48"/>
    <sheet name="24 (an)" sheetId="43" r:id="rId49"/>
    <sheet name="25" sheetId="44" r:id="rId50"/>
    <sheet name="25 (an)" sheetId="45" r:id="rId51"/>
    <sheet name="26" sheetId="46" r:id="rId52"/>
    <sheet name="26 (an)" sheetId="47" r:id="rId53"/>
    <sheet name="27" sheetId="48" r:id="rId54"/>
    <sheet name="27 (an)" sheetId="49" r:id="rId55"/>
    <sheet name="28" sheetId="50" r:id="rId56"/>
    <sheet name="28 (an)" sheetId="51" r:id="rId57"/>
    <sheet name="29" sheetId="52" r:id="rId58"/>
    <sheet name="29 (an)" sheetId="53" r:id="rId59"/>
    <sheet name="30" sheetId="54" r:id="rId60"/>
    <sheet name="30 (an)" sheetId="103" r:id="rId61"/>
    <sheet name="Tax advantage" sheetId="55" r:id="rId62"/>
    <sheet name="Homework Template ==&gt;" sheetId="56" r:id="rId63"/>
    <sheet name="STP 5.1" sheetId="57" r:id="rId64"/>
    <sheet name="STP 5.1 (an)" sheetId="58" r:id="rId65"/>
    <sheet name="STP 5.2" sheetId="59" r:id="rId66"/>
    <sheet name="STP 5.2 (an)" sheetId="60" r:id="rId67"/>
    <sheet name="STP 5.3" sheetId="61" r:id="rId68"/>
    <sheet name="STP 5.3 (an)" sheetId="62" r:id="rId69"/>
    <sheet name="STP 5.4" sheetId="63" r:id="rId70"/>
    <sheet name="STP 5.4 (an)" sheetId="64" r:id="rId71"/>
    <sheet name="STP 5.5" sheetId="65" r:id="rId72"/>
    <sheet name="STP 5.5 (an)" sheetId="66" r:id="rId73"/>
    <sheet name="STP 5.6" sheetId="67" r:id="rId74"/>
    <sheet name="STP 5.6 (an)" sheetId="68" r:id="rId75"/>
    <sheet name="Q&amp;P(7)" sheetId="69" r:id="rId76"/>
    <sheet name="Q&amp;P(7an)" sheetId="70" r:id="rId77"/>
    <sheet name="Q&amp;P(12)" sheetId="71" r:id="rId78"/>
    <sheet name="Q&amp;P(12an)" sheetId="72" r:id="rId79"/>
    <sheet name="Q&amp;P(13)" sheetId="73" r:id="rId80"/>
    <sheet name="Q&amp;P(13an)" sheetId="74" r:id="rId81"/>
    <sheet name="Q&amp;P(19)" sheetId="75" r:id="rId82"/>
    <sheet name="Q&amp;P(19an)" sheetId="76" r:id="rId83"/>
    <sheet name="Q&amp;P(20)" sheetId="77" r:id="rId84"/>
    <sheet name="Q&amp;P(20an)" sheetId="78" r:id="rId85"/>
    <sheet name="Q&amp;P(31)" sheetId="79" r:id="rId86"/>
    <sheet name="Q&amp;P(31an)" sheetId="80" r:id="rId87"/>
    <sheet name="Q&amp;P(35)" sheetId="81" r:id="rId88"/>
    <sheet name="Q&amp;P(35an)" sheetId="82" r:id="rId89"/>
    <sheet name="Q&amp;P(39)" sheetId="83" r:id="rId90"/>
    <sheet name="Q&amp;P(39an)" sheetId="84" r:id="rId91"/>
    <sheet name="Q&amp;P(43)" sheetId="85" r:id="rId92"/>
    <sheet name="Q&amp;P(43an)" sheetId="86" r:id="rId93"/>
    <sheet name="Q&amp;P(49)" sheetId="87" r:id="rId94"/>
    <sheet name="Q&amp;P(49an)" sheetId="88" r:id="rId95"/>
    <sheet name="Q&amp;P(55)" sheetId="89" r:id="rId96"/>
    <sheet name="Q&amp;P(55an)" sheetId="90" r:id="rId97"/>
  </sheets>
  <definedNames>
    <definedName name="b" localSheetId="28">#REF!</definedName>
    <definedName name="b">#REF!</definedName>
    <definedName name="cp" localSheetId="28">#REF!</definedName>
    <definedName name="cp">#REF!</definedName>
    <definedName name="p" localSheetId="28">#REF!</definedName>
    <definedName name="p">#REF!</definedName>
  </definedNames>
  <calcPr calcId="144525"/>
  <fileRecoveryPr autoRecover="0"/>
</workbook>
</file>

<file path=xl/calcChain.xml><?xml version="1.0" encoding="utf-8"?>
<calcChain xmlns="http://schemas.openxmlformats.org/spreadsheetml/2006/main">
  <c r="C13" i="104" l="1"/>
  <c r="E11" i="104"/>
  <c r="E10" i="104"/>
  <c r="E8" i="104"/>
  <c r="C8" i="104"/>
  <c r="C10" i="104" s="1"/>
  <c r="C11" i="104" s="1"/>
  <c r="C12" i="104" s="1"/>
  <c r="B15" i="104" s="1"/>
  <c r="B1" i="104"/>
  <c r="E10" i="26"/>
  <c r="E11" i="26"/>
  <c r="B6" i="103" l="1"/>
  <c r="B3" i="103"/>
  <c r="D1" i="103"/>
  <c r="B1" i="103"/>
  <c r="C10" i="103" s="1"/>
  <c r="D1" i="54"/>
  <c r="A10" i="53"/>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E9" i="53"/>
  <c r="B6" i="53"/>
  <c r="B3" i="53"/>
  <c r="A10" i="52"/>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E9" i="52"/>
  <c r="B6" i="52"/>
  <c r="B3" i="52"/>
  <c r="E10" i="51"/>
  <c r="B6" i="51"/>
  <c r="B3" i="51"/>
  <c r="B7" i="51" s="1"/>
  <c r="C19" i="49"/>
  <c r="B6" i="49"/>
  <c r="B18" i="49" s="1"/>
  <c r="B6" i="45"/>
  <c r="B7" i="45" s="1"/>
  <c r="B8" i="45" s="1"/>
  <c r="B9" i="43"/>
  <c r="B7" i="43"/>
  <c r="B8" i="43" s="1"/>
  <c r="B6" i="43"/>
  <c r="F3" i="43"/>
  <c r="B9" i="41"/>
  <c r="B10" i="41" s="1"/>
  <c r="B7" i="41"/>
  <c r="A1" i="41"/>
  <c r="B10" i="40"/>
  <c r="A1" i="40"/>
  <c r="C44" i="98"/>
  <c r="C42" i="98"/>
  <c r="C45" i="98" s="1"/>
  <c r="C46" i="98" s="1"/>
  <c r="C41" i="98"/>
  <c r="C43" i="98" s="1"/>
  <c r="E35" i="98"/>
  <c r="E33" i="98"/>
  <c r="I36" i="98" s="1"/>
  <c r="E28" i="98"/>
  <c r="C27" i="98"/>
  <c r="E26" i="98"/>
  <c r="C29" i="98" s="1"/>
  <c r="B24" i="98"/>
  <c r="E22" i="98"/>
  <c r="E20" i="98"/>
  <c r="E21" i="98" s="1"/>
  <c r="C19" i="98"/>
  <c r="E18" i="98"/>
  <c r="E19" i="98" s="1"/>
  <c r="C18" i="98"/>
  <c r="C20" i="98" s="1"/>
  <c r="C22" i="98" s="1"/>
  <c r="E13" i="98"/>
  <c r="C15" i="98" s="1"/>
  <c r="C12" i="98"/>
  <c r="C14" i="98" s="1"/>
  <c r="E11" i="98"/>
  <c r="C13" i="98" s="1"/>
  <c r="B9" i="98" s="1"/>
  <c r="A7" i="98"/>
  <c r="A6" i="98"/>
  <c r="A5" i="98"/>
  <c r="A4" i="98"/>
  <c r="A3" i="98"/>
  <c r="A2" i="98"/>
  <c r="A1" i="98"/>
  <c r="C43" i="97"/>
  <c r="B17" i="97"/>
  <c r="C14" i="97"/>
  <c r="C41" i="97"/>
  <c r="C42" i="97"/>
  <c r="B7" i="37"/>
  <c r="B8" i="37" s="1"/>
  <c r="B6" i="37"/>
  <c r="A1" i="37"/>
  <c r="B20" i="35"/>
  <c r="B16" i="35"/>
  <c r="A10" i="35"/>
  <c r="B7" i="35"/>
  <c r="B11" i="35" s="1"/>
  <c r="B6" i="35"/>
  <c r="A1" i="35"/>
  <c r="B8" i="34"/>
  <c r="E35" i="97"/>
  <c r="E33" i="97"/>
  <c r="C36" i="97" s="1"/>
  <c r="B31" i="97" s="1"/>
  <c r="E28" i="97"/>
  <c r="C27" i="97"/>
  <c r="E26" i="97"/>
  <c r="E22" i="97"/>
  <c r="E20" i="97"/>
  <c r="C19" i="97"/>
  <c r="E18" i="97"/>
  <c r="C18" i="97"/>
  <c r="C20" i="97" s="1"/>
  <c r="B9" i="97"/>
  <c r="A7" i="97"/>
  <c r="A6" i="97"/>
  <c r="A5" i="97"/>
  <c r="A4" i="97"/>
  <c r="A3" i="97"/>
  <c r="A2" i="97"/>
  <c r="A1" i="97"/>
  <c r="B15" i="33"/>
  <c r="G15" i="33" s="1"/>
  <c r="B14" i="33"/>
  <c r="G14" i="33" s="1"/>
  <c r="B13" i="33"/>
  <c r="G13" i="33" s="1"/>
  <c r="G16" i="33" s="1"/>
  <c r="E6" i="33"/>
  <c r="E5" i="33"/>
  <c r="B7" i="33" s="1"/>
  <c r="B8" i="33" s="1"/>
  <c r="A1" i="33"/>
  <c r="C11" i="103" l="1"/>
  <c r="B11" i="103"/>
  <c r="D48" i="53"/>
  <c r="D46" i="53"/>
  <c r="D44" i="53"/>
  <c r="D42" i="53"/>
  <c r="D40" i="53"/>
  <c r="D38" i="53"/>
  <c r="D36" i="53"/>
  <c r="D34" i="53"/>
  <c r="D32" i="53"/>
  <c r="D30" i="53"/>
  <c r="D28" i="53"/>
  <c r="D26" i="53"/>
  <c r="D24" i="53"/>
  <c r="D22" i="53"/>
  <c r="D20" i="53"/>
  <c r="D18" i="53"/>
  <c r="D16" i="53"/>
  <c r="D49" i="53"/>
  <c r="D47" i="53"/>
  <c r="D45" i="53"/>
  <c r="D43" i="53"/>
  <c r="D41" i="53"/>
  <c r="D39" i="53"/>
  <c r="D37" i="53"/>
  <c r="D35" i="53"/>
  <c r="D33" i="53"/>
  <c r="D31" i="53"/>
  <c r="D29" i="53"/>
  <c r="D27" i="53"/>
  <c r="D25" i="53"/>
  <c r="D23" i="53"/>
  <c r="D21" i="53"/>
  <c r="D19" i="53"/>
  <c r="D17" i="53"/>
  <c r="C10" i="53"/>
  <c r="D11" i="53"/>
  <c r="D13" i="53"/>
  <c r="D15" i="53"/>
  <c r="D10" i="53"/>
  <c r="E10" i="53" s="1"/>
  <c r="D12" i="53"/>
  <c r="D14" i="53"/>
  <c r="B370" i="51"/>
  <c r="B369" i="51"/>
  <c r="B368" i="51"/>
  <c r="B367" i="51"/>
  <c r="B366" i="51"/>
  <c r="B365" i="51"/>
  <c r="B364" i="51"/>
  <c r="B363" i="51"/>
  <c r="B362" i="51"/>
  <c r="B361" i="51"/>
  <c r="B360" i="51"/>
  <c r="B359" i="51"/>
  <c r="B358" i="51"/>
  <c r="B357" i="51"/>
  <c r="B356" i="51"/>
  <c r="B355" i="51"/>
  <c r="B354" i="51"/>
  <c r="B353" i="51"/>
  <c r="B352" i="51"/>
  <c r="B351" i="51"/>
  <c r="B350" i="51"/>
  <c r="B349" i="51"/>
  <c r="B348" i="51"/>
  <c r="B347" i="51"/>
  <c r="B346" i="51"/>
  <c r="B345" i="51"/>
  <c r="B344" i="51"/>
  <c r="B343" i="51"/>
  <c r="B342" i="51"/>
  <c r="B341" i="51"/>
  <c r="B340" i="51"/>
  <c r="B339" i="51"/>
  <c r="B338" i="51"/>
  <c r="B337" i="51"/>
  <c r="B336" i="51"/>
  <c r="B335" i="51"/>
  <c r="B334" i="51"/>
  <c r="B333" i="51"/>
  <c r="B332" i="51"/>
  <c r="B331" i="51"/>
  <c r="B330" i="51"/>
  <c r="B329" i="51"/>
  <c r="B328" i="51"/>
  <c r="B327" i="51"/>
  <c r="B326" i="51"/>
  <c r="B325" i="51"/>
  <c r="B324" i="51"/>
  <c r="B323" i="51"/>
  <c r="B322" i="51"/>
  <c r="B321" i="51"/>
  <c r="B320" i="51"/>
  <c r="B319" i="51"/>
  <c r="B318" i="51"/>
  <c r="B317" i="51"/>
  <c r="B316" i="51"/>
  <c r="B315" i="51"/>
  <c r="B314" i="51"/>
  <c r="B313" i="51"/>
  <c r="B312" i="51"/>
  <c r="B311" i="51"/>
  <c r="B310" i="51"/>
  <c r="B309" i="51"/>
  <c r="B308" i="51"/>
  <c r="B307" i="51"/>
  <c r="B306" i="51"/>
  <c r="B305" i="51"/>
  <c r="B304" i="51"/>
  <c r="B303" i="51"/>
  <c r="B302" i="51"/>
  <c r="B301" i="51"/>
  <c r="B300" i="51"/>
  <c r="B299" i="51"/>
  <c r="B298" i="51"/>
  <c r="B297" i="51"/>
  <c r="B296" i="51"/>
  <c r="B295" i="51"/>
  <c r="B294" i="51"/>
  <c r="B293" i="51"/>
  <c r="B290" i="51"/>
  <c r="B289" i="51"/>
  <c r="B288" i="51"/>
  <c r="B287" i="51"/>
  <c r="B286" i="51"/>
  <c r="B285" i="51"/>
  <c r="B284" i="51"/>
  <c r="B283" i="51"/>
  <c r="B282" i="51"/>
  <c r="B281" i="51"/>
  <c r="B280" i="51"/>
  <c r="B279" i="51"/>
  <c r="B278" i="51"/>
  <c r="B277" i="51"/>
  <c r="B276" i="51"/>
  <c r="B275" i="51"/>
  <c r="B274" i="51"/>
  <c r="B273" i="51"/>
  <c r="B272" i="51"/>
  <c r="B271" i="51"/>
  <c r="B270" i="51"/>
  <c r="B269" i="51"/>
  <c r="B268" i="51"/>
  <c r="B267" i="51"/>
  <c r="B266" i="51"/>
  <c r="B265" i="51"/>
  <c r="B264" i="51"/>
  <c r="B263" i="51"/>
  <c r="B262" i="51"/>
  <c r="B261" i="51"/>
  <c r="B260" i="51"/>
  <c r="B259" i="51"/>
  <c r="B258" i="51"/>
  <c r="B257" i="51"/>
  <c r="B256" i="51"/>
  <c r="B255" i="51"/>
  <c r="B254" i="51"/>
  <c r="B253" i="51"/>
  <c r="B252" i="51"/>
  <c r="B251" i="51"/>
  <c r="B250" i="51"/>
  <c r="B249" i="51"/>
  <c r="B248" i="51"/>
  <c r="B247" i="51"/>
  <c r="B246" i="51"/>
  <c r="B245" i="51"/>
  <c r="B244" i="51"/>
  <c r="B243" i="51"/>
  <c r="B242" i="51"/>
  <c r="B241" i="51"/>
  <c r="B240" i="51"/>
  <c r="B239" i="51"/>
  <c r="B238" i="51"/>
  <c r="B237" i="51"/>
  <c r="B236" i="51"/>
  <c r="B235" i="51"/>
  <c r="B234" i="51"/>
  <c r="B233" i="51"/>
  <c r="B232" i="51"/>
  <c r="B231" i="51"/>
  <c r="B230" i="51"/>
  <c r="B229" i="51"/>
  <c r="B228" i="51"/>
  <c r="B227" i="51"/>
  <c r="B226" i="51"/>
  <c r="B225" i="51"/>
  <c r="B224" i="51"/>
  <c r="B223" i="51"/>
  <c r="B222" i="51"/>
  <c r="B221" i="51"/>
  <c r="B220" i="51"/>
  <c r="B219" i="51"/>
  <c r="B218" i="51"/>
  <c r="B217" i="51"/>
  <c r="B216" i="51"/>
  <c r="B215" i="51"/>
  <c r="B214" i="51"/>
  <c r="B213" i="51"/>
  <c r="B212" i="51"/>
  <c r="B211" i="51"/>
  <c r="B210" i="51"/>
  <c r="B209" i="51"/>
  <c r="B208" i="51"/>
  <c r="B207" i="51"/>
  <c r="B292" i="51"/>
  <c r="B291" i="51"/>
  <c r="B206" i="51"/>
  <c r="B205" i="51"/>
  <c r="B204" i="51"/>
  <c r="B203" i="51"/>
  <c r="B202" i="51"/>
  <c r="B201" i="51"/>
  <c r="B200" i="51"/>
  <c r="B199" i="51"/>
  <c r="B198" i="51"/>
  <c r="B197" i="51"/>
  <c r="B196" i="51"/>
  <c r="B195" i="51"/>
  <c r="B194" i="51"/>
  <c r="B193" i="51"/>
  <c r="B192" i="51"/>
  <c r="B191" i="51"/>
  <c r="B190" i="51"/>
  <c r="B189" i="51"/>
  <c r="B188" i="51"/>
  <c r="B187" i="51"/>
  <c r="B186" i="51"/>
  <c r="B185" i="51"/>
  <c r="B184" i="51"/>
  <c r="B183" i="51"/>
  <c r="B182" i="51"/>
  <c r="B181" i="51"/>
  <c r="B180" i="51"/>
  <c r="B179" i="51"/>
  <c r="B178" i="51"/>
  <c r="B177" i="51"/>
  <c r="B176" i="51"/>
  <c r="B175" i="51"/>
  <c r="B174" i="51"/>
  <c r="B173" i="51"/>
  <c r="B172" i="51"/>
  <c r="B171" i="51"/>
  <c r="B170" i="51"/>
  <c r="B169" i="51"/>
  <c r="B168" i="51"/>
  <c r="B167" i="51"/>
  <c r="B166" i="51"/>
  <c r="B165" i="51"/>
  <c r="B164" i="51"/>
  <c r="B163" i="51"/>
  <c r="B162" i="51"/>
  <c r="B161" i="51"/>
  <c r="B160" i="51"/>
  <c r="B159" i="51"/>
  <c r="B158" i="51"/>
  <c r="B157" i="51"/>
  <c r="B156" i="51"/>
  <c r="B155" i="51"/>
  <c r="B154" i="51"/>
  <c r="B153" i="51"/>
  <c r="B152" i="51"/>
  <c r="B151" i="51"/>
  <c r="B150" i="51"/>
  <c r="B149" i="51"/>
  <c r="B148" i="51"/>
  <c r="B147" i="51"/>
  <c r="B146" i="51"/>
  <c r="B145" i="51"/>
  <c r="B144" i="51"/>
  <c r="B143" i="51"/>
  <c r="B142" i="51"/>
  <c r="B141" i="51"/>
  <c r="B140" i="51"/>
  <c r="B139" i="51"/>
  <c r="B138" i="51"/>
  <c r="B137" i="51"/>
  <c r="B136" i="51"/>
  <c r="B135" i="51"/>
  <c r="B134" i="51"/>
  <c r="B133" i="51"/>
  <c r="B132" i="51"/>
  <c r="B131" i="51"/>
  <c r="B130" i="51"/>
  <c r="B129" i="51"/>
  <c r="B128" i="51"/>
  <c r="B127" i="51"/>
  <c r="B126" i="51"/>
  <c r="B125" i="51"/>
  <c r="B124" i="51"/>
  <c r="B123" i="51"/>
  <c r="B122" i="51"/>
  <c r="B121" i="51"/>
  <c r="B120" i="51"/>
  <c r="B119" i="51"/>
  <c r="B118" i="51"/>
  <c r="B117" i="51"/>
  <c r="B116" i="51"/>
  <c r="B115" i="51"/>
  <c r="B114" i="51"/>
  <c r="B113" i="51"/>
  <c r="B112" i="51"/>
  <c r="B111" i="51"/>
  <c r="B110" i="51"/>
  <c r="B109" i="51"/>
  <c r="B108" i="51"/>
  <c r="B107" i="51"/>
  <c r="B106" i="51"/>
  <c r="B105" i="51"/>
  <c r="B104" i="51"/>
  <c r="B103" i="51"/>
  <c r="B102" i="51"/>
  <c r="B101" i="51"/>
  <c r="B100" i="51"/>
  <c r="B99" i="51"/>
  <c r="B98" i="51"/>
  <c r="B97" i="51"/>
  <c r="B96" i="51"/>
  <c r="B95" i="51"/>
  <c r="B94" i="51"/>
  <c r="B93" i="51"/>
  <c r="B92" i="51"/>
  <c r="B91" i="51"/>
  <c r="B90" i="51"/>
  <c r="B89" i="51"/>
  <c r="B88" i="51"/>
  <c r="B87" i="51"/>
  <c r="B86" i="51"/>
  <c r="B85" i="51"/>
  <c r="B84" i="51"/>
  <c r="B83" i="51"/>
  <c r="B82" i="51"/>
  <c r="B81" i="51"/>
  <c r="B80" i="51"/>
  <c r="B79" i="51"/>
  <c r="B78" i="51"/>
  <c r="B77" i="51"/>
  <c r="B76" i="51"/>
  <c r="B75" i="51"/>
  <c r="B74" i="51"/>
  <c r="B73" i="51"/>
  <c r="B72" i="51"/>
  <c r="B71" i="51"/>
  <c r="B70" i="51"/>
  <c r="B69" i="51"/>
  <c r="B68" i="51"/>
  <c r="B67" i="51"/>
  <c r="B66" i="51"/>
  <c r="B65" i="51"/>
  <c r="B64" i="51"/>
  <c r="B63" i="51"/>
  <c r="B62" i="51"/>
  <c r="B61" i="51"/>
  <c r="B60" i="51"/>
  <c r="B59" i="51"/>
  <c r="B58" i="51"/>
  <c r="B57" i="51"/>
  <c r="B56" i="51"/>
  <c r="B55" i="51"/>
  <c r="B54" i="51"/>
  <c r="B53" i="51"/>
  <c r="B52" i="51"/>
  <c r="B51" i="51"/>
  <c r="B50" i="51"/>
  <c r="B49" i="51"/>
  <c r="B48" i="51"/>
  <c r="B47" i="51"/>
  <c r="B46" i="51"/>
  <c r="B45" i="51"/>
  <c r="B44" i="51"/>
  <c r="B43" i="51"/>
  <c r="B42" i="51"/>
  <c r="B41" i="51"/>
  <c r="B40" i="51"/>
  <c r="B39" i="51"/>
  <c r="B38" i="51"/>
  <c r="B37" i="51"/>
  <c r="B36" i="51"/>
  <c r="B35" i="51"/>
  <c r="B34" i="51"/>
  <c r="B33" i="51"/>
  <c r="B32" i="51"/>
  <c r="B31" i="51"/>
  <c r="B30" i="51"/>
  <c r="B29" i="51"/>
  <c r="B28" i="51"/>
  <c r="B27" i="51"/>
  <c r="B26" i="51"/>
  <c r="B25" i="51"/>
  <c r="B24" i="51"/>
  <c r="B23" i="51"/>
  <c r="B22" i="51"/>
  <c r="B21" i="51"/>
  <c r="B20" i="51"/>
  <c r="B19" i="51"/>
  <c r="B18" i="51"/>
  <c r="B17" i="51"/>
  <c r="B16" i="51"/>
  <c r="B15" i="51"/>
  <c r="B14" i="51"/>
  <c r="B13" i="51"/>
  <c r="B12" i="51"/>
  <c r="B11" i="51"/>
  <c r="C11" i="51"/>
  <c r="B11" i="49"/>
  <c r="B13" i="49"/>
  <c r="B15" i="49"/>
  <c r="B17" i="49"/>
  <c r="B19" i="49"/>
  <c r="B10" i="49"/>
  <c r="B12" i="49"/>
  <c r="B14" i="49"/>
  <c r="B16" i="49"/>
  <c r="C21" i="98"/>
  <c r="B17" i="98" s="1"/>
  <c r="C36" i="98"/>
  <c r="B31" i="98" s="1"/>
  <c r="C34" i="98"/>
  <c r="C35" i="98" s="1"/>
  <c r="E19" i="97"/>
  <c r="E21" i="97"/>
  <c r="C22" i="97"/>
  <c r="B24" i="97"/>
  <c r="B18" i="35"/>
  <c r="B8" i="35"/>
  <c r="I36" i="97"/>
  <c r="C13" i="33"/>
  <c r="H13" i="33"/>
  <c r="C14" i="33"/>
  <c r="H14" i="33"/>
  <c r="C15" i="33"/>
  <c r="H15" i="33"/>
  <c r="B6" i="33"/>
  <c r="C12" i="103" l="1"/>
  <c r="B12" i="103"/>
  <c r="E11" i="53"/>
  <c r="C11" i="53"/>
  <c r="B11" i="53" s="1"/>
  <c r="B10" i="53"/>
  <c r="B371" i="51"/>
  <c r="D11" i="51"/>
  <c r="B22" i="35"/>
  <c r="B19" i="35"/>
  <c r="B21" i="35" s="1"/>
  <c r="H16" i="33"/>
  <c r="C16" i="33"/>
  <c r="B13" i="103" l="1"/>
  <c r="C13" i="103" s="1"/>
  <c r="E12" i="53"/>
  <c r="C12" i="53"/>
  <c r="B12" i="53" s="1"/>
  <c r="E11" i="51"/>
  <c r="B7" i="31"/>
  <c r="B6" i="31"/>
  <c r="B9" i="31" s="1"/>
  <c r="I2" i="31"/>
  <c r="B7" i="29"/>
  <c r="B6" i="29"/>
  <c r="B9" i="29" s="1"/>
  <c r="B11" i="25"/>
  <c r="B9" i="25"/>
  <c r="B13" i="25" s="1"/>
  <c r="B8" i="25"/>
  <c r="A1" i="25"/>
  <c r="B14" i="22"/>
  <c r="B11" i="23"/>
  <c r="B9" i="23"/>
  <c r="B14" i="23" s="1"/>
  <c r="B8" i="23"/>
  <c r="A1" i="23"/>
  <c r="C11" i="21"/>
  <c r="C9" i="21"/>
  <c r="C8" i="21"/>
  <c r="J5" i="21"/>
  <c r="I5" i="21"/>
  <c r="K5" i="21" s="1"/>
  <c r="J4" i="21"/>
  <c r="I4" i="21"/>
  <c r="K4" i="21" s="1"/>
  <c r="J3" i="21"/>
  <c r="I3" i="21"/>
  <c r="K3" i="21" s="1"/>
  <c r="K6" i="21" s="1"/>
  <c r="B1" i="21"/>
  <c r="K4" i="20"/>
  <c r="K5" i="20"/>
  <c r="K3" i="20"/>
  <c r="B5" i="19"/>
  <c r="B4" i="19"/>
  <c r="B9" i="17"/>
  <c r="A9" i="17"/>
  <c r="B7" i="17"/>
  <c r="B10" i="17" s="1"/>
  <c r="B13" i="17" s="1"/>
  <c r="A7" i="17"/>
  <c r="A2" i="17"/>
  <c r="B10" i="15"/>
  <c r="B9" i="15"/>
  <c r="B7" i="15"/>
  <c r="B6" i="15"/>
  <c r="A1" i="15"/>
  <c r="A10" i="95"/>
  <c r="A9" i="95"/>
  <c r="B4" i="95"/>
  <c r="B9" i="95" s="1"/>
  <c r="C15" i="13"/>
  <c r="C14" i="13"/>
  <c r="E14" i="13" s="1"/>
  <c r="C9" i="13"/>
  <c r="C4" i="13"/>
  <c r="F12" i="10"/>
  <c r="D12" i="10"/>
  <c r="F11" i="10"/>
  <c r="D11" i="10"/>
  <c r="F10" i="10"/>
  <c r="D10" i="10"/>
  <c r="F9" i="10"/>
  <c r="D9" i="10"/>
  <c r="F8" i="10"/>
  <c r="F14" i="10" s="1"/>
  <c r="D8" i="10"/>
  <c r="C5" i="10" s="1"/>
  <c r="F4" i="10" s="1"/>
  <c r="C14" i="4"/>
  <c r="C13" i="4"/>
  <c r="E15" i="4" s="1"/>
  <c r="C6" i="4"/>
  <c r="C5" i="4"/>
  <c r="E7" i="4" s="1"/>
  <c r="B14" i="103" l="1"/>
  <c r="C14" i="103" s="1"/>
  <c r="E13" i="53"/>
  <c r="C13" i="53"/>
  <c r="B13" i="53" s="1"/>
  <c r="C12" i="51"/>
  <c r="B10" i="31"/>
  <c r="B10" i="29"/>
  <c r="B11" i="29" s="1"/>
  <c r="B11" i="28"/>
  <c r="B12" i="25"/>
  <c r="B15" i="25"/>
  <c r="B12" i="23"/>
  <c r="B11" i="17"/>
  <c r="B5" i="95"/>
  <c r="B10" i="95" s="1"/>
  <c r="C7" i="4"/>
  <c r="C15" i="4"/>
  <c r="A10" i="94"/>
  <c r="A9" i="94"/>
  <c r="C15" i="103" l="1"/>
  <c r="B15" i="103"/>
  <c r="E14" i="53"/>
  <c r="C14" i="53"/>
  <c r="B14" i="53" s="1"/>
  <c r="D12" i="51"/>
  <c r="B11" i="31"/>
  <c r="H2" i="31"/>
  <c r="F10" i="9"/>
  <c r="F11" i="9"/>
  <c r="F12" i="9"/>
  <c r="F13" i="9"/>
  <c r="F14" i="9"/>
  <c r="F15" i="9"/>
  <c r="F16" i="9"/>
  <c r="F17" i="9"/>
  <c r="F18" i="9"/>
  <c r="F19" i="9"/>
  <c r="F9" i="9"/>
  <c r="C16" i="103" l="1"/>
  <c r="B16" i="103"/>
  <c r="E15" i="53"/>
  <c r="C15" i="53"/>
  <c r="B15" i="53" s="1"/>
  <c r="E12" i="51"/>
  <c r="B5" i="70"/>
  <c r="B6" i="62"/>
  <c r="F3" i="42"/>
  <c r="B7" i="39"/>
  <c r="B17" i="103" l="1"/>
  <c r="C17" i="103" s="1"/>
  <c r="E16" i="53"/>
  <c r="C16" i="53"/>
  <c r="B16" i="53" s="1"/>
  <c r="C13" i="51"/>
  <c r="B11" i="93"/>
  <c r="C5" i="93" s="1"/>
  <c r="B5" i="93"/>
  <c r="B18" i="103" l="1"/>
  <c r="C18" i="103" s="1"/>
  <c r="E17" i="53"/>
  <c r="C17" i="53"/>
  <c r="B17" i="53" s="1"/>
  <c r="D13" i="51"/>
  <c r="E9" i="90"/>
  <c r="B6" i="90"/>
  <c r="B12" i="90" s="1"/>
  <c r="C5" i="90"/>
  <c r="C5" i="89"/>
  <c r="B33" i="88"/>
  <c r="B32" i="88"/>
  <c r="B31" i="88"/>
  <c r="B30" i="88"/>
  <c r="B29" i="88"/>
  <c r="B28" i="88"/>
  <c r="B27" i="88"/>
  <c r="B26" i="88"/>
  <c r="B25" i="88"/>
  <c r="B24" i="88"/>
  <c r="B23" i="88"/>
  <c r="B22" i="88"/>
  <c r="B21" i="88"/>
  <c r="B20" i="88"/>
  <c r="B19" i="88"/>
  <c r="B34" i="88" s="1"/>
  <c r="X10" i="88"/>
  <c r="W10" i="88"/>
  <c r="V10" i="88"/>
  <c r="U10" i="88"/>
  <c r="T10" i="88"/>
  <c r="S10" i="88"/>
  <c r="R10" i="88"/>
  <c r="Q10" i="88"/>
  <c r="P10" i="88"/>
  <c r="O10" i="88"/>
  <c r="N10" i="88"/>
  <c r="M10" i="88"/>
  <c r="L10" i="88"/>
  <c r="K10" i="88"/>
  <c r="J10" i="88"/>
  <c r="B5" i="88"/>
  <c r="B10" i="88" s="1"/>
  <c r="B11" i="88" s="1"/>
  <c r="A1" i="88"/>
  <c r="B33" i="87"/>
  <c r="B32" i="87"/>
  <c r="B31" i="87"/>
  <c r="B30" i="87"/>
  <c r="B29" i="87"/>
  <c r="B28" i="87"/>
  <c r="B27" i="87"/>
  <c r="B26" i="87"/>
  <c r="B25" i="87"/>
  <c r="B24" i="87"/>
  <c r="B23" i="87"/>
  <c r="B22" i="87"/>
  <c r="B21" i="87"/>
  <c r="B20" i="87"/>
  <c r="B19" i="87"/>
  <c r="X10" i="87"/>
  <c r="W10" i="87"/>
  <c r="V10" i="87"/>
  <c r="U10" i="87"/>
  <c r="T10" i="87"/>
  <c r="S10" i="87"/>
  <c r="R10" i="87"/>
  <c r="Q10" i="87"/>
  <c r="P10" i="87"/>
  <c r="O10" i="87"/>
  <c r="N10" i="87"/>
  <c r="M10" i="87"/>
  <c r="L10" i="87"/>
  <c r="K10" i="87"/>
  <c r="J10" i="87"/>
  <c r="A1" i="87" s="1"/>
  <c r="D13" i="86"/>
  <c r="B7" i="86"/>
  <c r="B4" i="86"/>
  <c r="D5" i="84"/>
  <c r="B4" i="84"/>
  <c r="B6" i="84" s="1"/>
  <c r="G6" i="83"/>
  <c r="H6" i="83" s="1"/>
  <c r="D5" i="83"/>
  <c r="D10" i="82"/>
  <c r="D9" i="82"/>
  <c r="D8" i="82"/>
  <c r="B8" i="82"/>
  <c r="E7" i="82"/>
  <c r="D7" i="82"/>
  <c r="B7" i="82"/>
  <c r="B10" i="82" s="1"/>
  <c r="E6" i="82"/>
  <c r="D6" i="82"/>
  <c r="E5" i="82"/>
  <c r="D5" i="82"/>
  <c r="E4" i="82"/>
  <c r="D4" i="82"/>
  <c r="D3" i="82"/>
  <c r="D2" i="82"/>
  <c r="D10" i="81"/>
  <c r="D9" i="81"/>
  <c r="D8" i="81"/>
  <c r="D7" i="81"/>
  <c r="E6" i="81"/>
  <c r="D6" i="81"/>
  <c r="E5" i="81"/>
  <c r="D5" i="81"/>
  <c r="E4" i="81"/>
  <c r="D4" i="81"/>
  <c r="D3" i="81"/>
  <c r="D2" i="81"/>
  <c r="B9" i="80"/>
  <c r="B5" i="80"/>
  <c r="E11" i="80" s="1"/>
  <c r="B4" i="80"/>
  <c r="E5" i="80" s="1"/>
  <c r="B9" i="79"/>
  <c r="B8" i="78"/>
  <c r="B6" i="78"/>
  <c r="B4" i="76"/>
  <c r="C4" i="76" s="1"/>
  <c r="B3" i="76"/>
  <c r="B5" i="76" s="1"/>
  <c r="C5" i="76" s="1"/>
  <c r="C5" i="75"/>
  <c r="C4" i="75"/>
  <c r="B3" i="75"/>
  <c r="B5" i="74"/>
  <c r="A5" i="74"/>
  <c r="B4" i="74"/>
  <c r="A4" i="74"/>
  <c r="B3" i="74"/>
  <c r="A3" i="74"/>
  <c r="B2" i="74"/>
  <c r="A2" i="74"/>
  <c r="D5" i="72"/>
  <c r="C5" i="72"/>
  <c r="D4" i="72"/>
  <c r="C4" i="72"/>
  <c r="D3" i="72"/>
  <c r="C3" i="72"/>
  <c r="D2" i="72"/>
  <c r="C2" i="72"/>
  <c r="B7" i="70"/>
  <c r="B8" i="70"/>
  <c r="E4" i="70"/>
  <c r="E3" i="70"/>
  <c r="E5" i="70" s="1"/>
  <c r="E1" i="70"/>
  <c r="E7" i="70" s="1"/>
  <c r="E4" i="69"/>
  <c r="E3" i="69"/>
  <c r="E1" i="69"/>
  <c r="B12" i="68"/>
  <c r="B9" i="68"/>
  <c r="B7" i="68"/>
  <c r="B3" i="68"/>
  <c r="B4" i="68" s="1"/>
  <c r="E10" i="66"/>
  <c r="B6" i="66"/>
  <c r="B5" i="66"/>
  <c r="B6" i="65"/>
  <c r="B5" i="65"/>
  <c r="B4" i="64"/>
  <c r="B3" i="64"/>
  <c r="B7" i="62"/>
  <c r="F13" i="60"/>
  <c r="D13" i="60"/>
  <c r="F12" i="60"/>
  <c r="D12" i="60"/>
  <c r="F11" i="60"/>
  <c r="D11" i="60"/>
  <c r="F10" i="60"/>
  <c r="D10" i="60"/>
  <c r="F9" i="60"/>
  <c r="D9" i="60"/>
  <c r="F8" i="60"/>
  <c r="D8" i="60"/>
  <c r="F7" i="60"/>
  <c r="D7" i="60"/>
  <c r="F6" i="60"/>
  <c r="D6" i="60"/>
  <c r="F5" i="60"/>
  <c r="D5" i="60"/>
  <c r="D14" i="60" s="1"/>
  <c r="D16" i="60" s="1"/>
  <c r="F14" i="59"/>
  <c r="D14" i="59"/>
  <c r="E9" i="58"/>
  <c r="B12" i="58" s="1"/>
  <c r="L8" i="58"/>
  <c r="D8" i="58"/>
  <c r="L7" i="58"/>
  <c r="D7" i="58"/>
  <c r="L6" i="58"/>
  <c r="D6" i="58"/>
  <c r="L5" i="58"/>
  <c r="L9" i="58" s="1"/>
  <c r="D5" i="58"/>
  <c r="D9" i="58" s="1"/>
  <c r="B3" i="58"/>
  <c r="L8" i="57"/>
  <c r="L7" i="57"/>
  <c r="L6" i="57"/>
  <c r="L5" i="57"/>
  <c r="B3" i="57"/>
  <c r="C14" i="55"/>
  <c r="C15" i="55" s="1"/>
  <c r="C16" i="55" s="1"/>
  <c r="C17" i="55" s="1"/>
  <c r="C18" i="55" s="1"/>
  <c r="C19" i="55" s="1"/>
  <c r="C20" i="55" s="1"/>
  <c r="C21" i="55" s="1"/>
  <c r="C22" i="55" s="1"/>
  <c r="C23" i="55" s="1"/>
  <c r="C24" i="55" s="1"/>
  <c r="C25" i="55" s="1"/>
  <c r="C26" i="55" s="1"/>
  <c r="C27" i="55" s="1"/>
  <c r="C28" i="55" s="1"/>
  <c r="C29" i="55" s="1"/>
  <c r="C30" i="55" s="1"/>
  <c r="C31" i="55" s="1"/>
  <c r="C32" i="55" s="1"/>
  <c r="C33" i="55" s="1"/>
  <c r="C34" i="55" s="1"/>
  <c r="C35" i="55" s="1"/>
  <c r="C36" i="55" s="1"/>
  <c r="C37" i="55" s="1"/>
  <c r="C38" i="55" s="1"/>
  <c r="C39" i="55" s="1"/>
  <c r="C40" i="55" s="1"/>
  <c r="C41" i="55" s="1"/>
  <c r="C42" i="55" s="1"/>
  <c r="C43" i="55" s="1"/>
  <c r="C44" i="55" s="1"/>
  <c r="C45" i="55" s="1"/>
  <c r="C46" i="55" s="1"/>
  <c r="C47" i="55" s="1"/>
  <c r="C48" i="55" s="1"/>
  <c r="C49" i="55" s="1"/>
  <c r="C50" i="55" s="1"/>
  <c r="C51" i="55" s="1"/>
  <c r="C52" i="55" s="1"/>
  <c r="C53" i="55" s="1"/>
  <c r="B6" i="55"/>
  <c r="B3" i="55"/>
  <c r="B1" i="55" s="1"/>
  <c r="E13" i="55" s="1"/>
  <c r="E14" i="55" s="1"/>
  <c r="B6" i="54"/>
  <c r="B3" i="54"/>
  <c r="B6" i="50"/>
  <c r="B3" i="50"/>
  <c r="C19" i="48"/>
  <c r="B5" i="47"/>
  <c r="B4" i="47"/>
  <c r="B5" i="46"/>
  <c r="B8" i="44"/>
  <c r="B7" i="40"/>
  <c r="B8" i="39"/>
  <c r="B6" i="39"/>
  <c r="B8" i="38"/>
  <c r="A10" i="34"/>
  <c r="B8" i="36"/>
  <c r="A1" i="36"/>
  <c r="B22" i="34"/>
  <c r="B11" i="34"/>
  <c r="A1" i="34"/>
  <c r="B15" i="32"/>
  <c r="G15" i="32" s="1"/>
  <c r="B14" i="32"/>
  <c r="G14" i="32" s="1"/>
  <c r="B13" i="32"/>
  <c r="G13" i="32" s="1"/>
  <c r="B8" i="32"/>
  <c r="A1" i="32"/>
  <c r="B11" i="30"/>
  <c r="I2" i="30"/>
  <c r="H2" i="30"/>
  <c r="B15" i="26"/>
  <c r="E8" i="26"/>
  <c r="B1" i="26"/>
  <c r="B15" i="24"/>
  <c r="A1" i="24"/>
  <c r="A1" i="22"/>
  <c r="C11" i="20"/>
  <c r="J5" i="20"/>
  <c r="I5" i="20"/>
  <c r="J4" i="20"/>
  <c r="I4" i="20"/>
  <c r="J3" i="20"/>
  <c r="I3" i="20"/>
  <c r="K6" i="20" s="1"/>
  <c r="B1" i="20"/>
  <c r="A1" i="14"/>
  <c r="A9" i="16"/>
  <c r="A7" i="16"/>
  <c r="A2" i="16"/>
  <c r="E14" i="12"/>
  <c r="F7" i="3"/>
  <c r="F8" i="3"/>
  <c r="F9" i="3"/>
  <c r="F10" i="3"/>
  <c r="F11" i="3"/>
  <c r="F12" i="3"/>
  <c r="F13" i="3"/>
  <c r="F14" i="3"/>
  <c r="F15" i="3"/>
  <c r="D15" i="3"/>
  <c r="D14" i="3"/>
  <c r="D13" i="3"/>
  <c r="D12" i="3"/>
  <c r="D11" i="3"/>
  <c r="D10" i="3"/>
  <c r="D9" i="3"/>
  <c r="D8" i="3"/>
  <c r="H7" i="3"/>
  <c r="D7" i="3"/>
  <c r="C5" i="9"/>
  <c r="C4" i="9"/>
  <c r="D19" i="9" s="1"/>
  <c r="C5" i="8"/>
  <c r="C4" i="8"/>
  <c r="C19" i="103" l="1"/>
  <c r="B19" i="103"/>
  <c r="E18" i="53"/>
  <c r="C18" i="53"/>
  <c r="B18" i="53" s="1"/>
  <c r="E13" i="51"/>
  <c r="J21" i="8"/>
  <c r="D16" i="3"/>
  <c r="H13" i="32"/>
  <c r="H15" i="32"/>
  <c r="L9" i="57"/>
  <c r="B7" i="66"/>
  <c r="B10" i="80"/>
  <c r="B11" i="80" s="1"/>
  <c r="E8" i="82"/>
  <c r="B9" i="86"/>
  <c r="B10" i="86" s="1"/>
  <c r="B11" i="86" s="1"/>
  <c r="H14" i="32"/>
  <c r="B11" i="68"/>
  <c r="B10" i="68"/>
  <c r="D8" i="78"/>
  <c r="B7" i="78"/>
  <c r="F14" i="60"/>
  <c r="B15" i="66"/>
  <c r="B14" i="66"/>
  <c r="B13" i="66"/>
  <c r="B12" i="66"/>
  <c r="B11" i="66"/>
  <c r="E8" i="70"/>
  <c r="E10" i="82"/>
  <c r="G7" i="84"/>
  <c r="H7" i="84" s="1"/>
  <c r="B7" i="84"/>
  <c r="C11" i="66"/>
  <c r="B9" i="82"/>
  <c r="E9" i="82"/>
  <c r="B9" i="88"/>
  <c r="I11" i="88"/>
  <c r="C10" i="90"/>
  <c r="D7" i="78"/>
  <c r="B10" i="90"/>
  <c r="B11" i="90"/>
  <c r="E15" i="55"/>
  <c r="D14" i="55"/>
  <c r="G16" i="32"/>
  <c r="J6" i="9"/>
  <c r="D9" i="9"/>
  <c r="D10" i="9"/>
  <c r="D11" i="9"/>
  <c r="D12" i="9"/>
  <c r="D13" i="9"/>
  <c r="D14" i="9"/>
  <c r="D15" i="9"/>
  <c r="D16" i="9"/>
  <c r="D17" i="9"/>
  <c r="D18" i="9"/>
  <c r="D9" i="8"/>
  <c r="D10" i="8"/>
  <c r="D11" i="8"/>
  <c r="D12" i="8"/>
  <c r="D13" i="8"/>
  <c r="D14" i="8"/>
  <c r="D15" i="8"/>
  <c r="D16" i="8"/>
  <c r="D17" i="8"/>
  <c r="D18" i="8"/>
  <c r="D19" i="8"/>
  <c r="F9" i="8"/>
  <c r="F10" i="8"/>
  <c r="F11" i="8"/>
  <c r="F12" i="8"/>
  <c r="F13" i="8"/>
  <c r="F14" i="8"/>
  <c r="F15" i="8"/>
  <c r="F16" i="8"/>
  <c r="F17" i="8"/>
  <c r="F18" i="8"/>
  <c r="F19" i="8"/>
  <c r="C20" i="103" l="1"/>
  <c r="B20" i="103"/>
  <c r="E19" i="53"/>
  <c r="C19" i="53"/>
  <c r="B19" i="53" s="1"/>
  <c r="C14" i="51"/>
  <c r="H16" i="32"/>
  <c r="B13" i="90"/>
  <c r="D10" i="90"/>
  <c r="B16" i="66"/>
  <c r="D11" i="66"/>
  <c r="G9" i="82"/>
  <c r="H9" i="82"/>
  <c r="H10" i="82"/>
  <c r="G10" i="82"/>
  <c r="E16" i="55"/>
  <c r="D15" i="55"/>
  <c r="F21" i="9"/>
  <c r="C6" i="9"/>
  <c r="F21" i="8"/>
  <c r="C6" i="8"/>
  <c r="C21" i="103" l="1"/>
  <c r="B21" i="103"/>
  <c r="E20" i="53"/>
  <c r="C20" i="53"/>
  <c r="B20" i="53" s="1"/>
  <c r="D14" i="51"/>
  <c r="E10" i="90"/>
  <c r="E11" i="66"/>
  <c r="E17" i="55"/>
  <c r="D16" i="55"/>
  <c r="B22" i="103" l="1"/>
  <c r="C22" i="103" s="1"/>
  <c r="E21" i="53"/>
  <c r="C21" i="53"/>
  <c r="B21" i="53" s="1"/>
  <c r="E14" i="51"/>
  <c r="C12" i="66"/>
  <c r="C11" i="90"/>
  <c r="E18" i="55"/>
  <c r="D17" i="55"/>
  <c r="B23" i="103" l="1"/>
  <c r="C23" i="103" s="1"/>
  <c r="E22" i="53"/>
  <c r="C22" i="53"/>
  <c r="B22" i="53" s="1"/>
  <c r="C15" i="51"/>
  <c r="D15" i="51" s="1"/>
  <c r="D11" i="90"/>
  <c r="D12" i="66"/>
  <c r="E19" i="55"/>
  <c r="D18" i="55"/>
  <c r="B24" i="103" l="1"/>
  <c r="C24" i="103" s="1"/>
  <c r="E23" i="53"/>
  <c r="C23" i="53"/>
  <c r="B23" i="53" s="1"/>
  <c r="E15" i="51"/>
  <c r="E11" i="90"/>
  <c r="E12" i="66"/>
  <c r="E20" i="55"/>
  <c r="D19" i="55"/>
  <c r="B25" i="103" l="1"/>
  <c r="C25" i="103" s="1"/>
  <c r="E24" i="53"/>
  <c r="C24" i="53"/>
  <c r="B24" i="53" s="1"/>
  <c r="C16" i="51"/>
  <c r="D16" i="51" s="1"/>
  <c r="E16" i="51" s="1"/>
  <c r="C12" i="90"/>
  <c r="C13" i="66"/>
  <c r="E21" i="55"/>
  <c r="D20" i="55"/>
  <c r="B26" i="103" l="1"/>
  <c r="C26" i="103" s="1"/>
  <c r="E25" i="53"/>
  <c r="C25" i="53"/>
  <c r="B25" i="53" s="1"/>
  <c r="C17" i="51"/>
  <c r="D17" i="51" s="1"/>
  <c r="E17" i="51" s="1"/>
  <c r="B16" i="90"/>
  <c r="D12" i="90"/>
  <c r="C13" i="90"/>
  <c r="B15" i="90" s="1"/>
  <c r="D13" i="66"/>
  <c r="E22" i="55"/>
  <c r="D21" i="55"/>
  <c r="B27" i="103" l="1"/>
  <c r="C27" i="103" s="1"/>
  <c r="E26" i="53"/>
  <c r="C26" i="53"/>
  <c r="B26" i="53" s="1"/>
  <c r="C18" i="51"/>
  <c r="D18" i="51" s="1"/>
  <c r="E18" i="51" s="1"/>
  <c r="E13" i="66"/>
  <c r="D13" i="90"/>
  <c r="E12" i="90"/>
  <c r="E23" i="55"/>
  <c r="D22" i="55"/>
  <c r="B28" i="103" l="1"/>
  <c r="C28" i="103" s="1"/>
  <c r="E27" i="53"/>
  <c r="C27" i="53"/>
  <c r="B27" i="53" s="1"/>
  <c r="C19" i="51"/>
  <c r="D19" i="51" s="1"/>
  <c r="E19" i="51" s="1"/>
  <c r="C14" i="66"/>
  <c r="E24" i="55"/>
  <c r="D23" i="55"/>
  <c r="B29" i="103" l="1"/>
  <c r="C29" i="103" s="1"/>
  <c r="E28" i="53"/>
  <c r="C28" i="53"/>
  <c r="B28" i="53" s="1"/>
  <c r="C20" i="51"/>
  <c r="D20" i="51" s="1"/>
  <c r="E20" i="51" s="1"/>
  <c r="D14" i="66"/>
  <c r="E25" i="55"/>
  <c r="D24" i="55"/>
  <c r="B30" i="103" l="1"/>
  <c r="C30" i="103" s="1"/>
  <c r="E29" i="53"/>
  <c r="C29" i="53"/>
  <c r="B29" i="53" s="1"/>
  <c r="C21" i="51"/>
  <c r="D21" i="51" s="1"/>
  <c r="E21" i="51" s="1"/>
  <c r="E14" i="66"/>
  <c r="E26" i="55"/>
  <c r="D25" i="55"/>
  <c r="B31" i="103" l="1"/>
  <c r="C31" i="103" s="1"/>
  <c r="E30" i="53"/>
  <c r="C30" i="53"/>
  <c r="B30" i="53" s="1"/>
  <c r="C22" i="51"/>
  <c r="D22" i="51" s="1"/>
  <c r="E22" i="51" s="1"/>
  <c r="C15" i="66"/>
  <c r="E27" i="55"/>
  <c r="D26" i="55"/>
  <c r="B32" i="103" l="1"/>
  <c r="C32" i="103" s="1"/>
  <c r="E31" i="53"/>
  <c r="C31" i="53"/>
  <c r="B31" i="53" s="1"/>
  <c r="C23" i="51"/>
  <c r="D23" i="51" s="1"/>
  <c r="E23" i="51" s="1"/>
  <c r="D15" i="66"/>
  <c r="C16" i="66"/>
  <c r="E28" i="55"/>
  <c r="D27" i="55"/>
  <c r="B33" i="103" l="1"/>
  <c r="C33" i="103" s="1"/>
  <c r="E32" i="53"/>
  <c r="C32" i="53"/>
  <c r="B32" i="53" s="1"/>
  <c r="C24" i="51"/>
  <c r="D24" i="51" s="1"/>
  <c r="E24" i="51" s="1"/>
  <c r="D16" i="66"/>
  <c r="E15" i="66"/>
  <c r="E29" i="55"/>
  <c r="D28" i="55"/>
  <c r="B34" i="103" l="1"/>
  <c r="C34" i="103" s="1"/>
  <c r="E33" i="53"/>
  <c r="C33" i="53"/>
  <c r="B33" i="53" s="1"/>
  <c r="C25" i="51"/>
  <c r="D25" i="51" s="1"/>
  <c r="E25" i="51" s="1"/>
  <c r="E30" i="55"/>
  <c r="D29" i="55"/>
  <c r="B35" i="103" l="1"/>
  <c r="C35" i="103" s="1"/>
  <c r="E34" i="53"/>
  <c r="C34" i="53"/>
  <c r="B34" i="53" s="1"/>
  <c r="C26" i="51"/>
  <c r="D26" i="51" s="1"/>
  <c r="E26" i="51" s="1"/>
  <c r="E31" i="55"/>
  <c r="D30" i="55"/>
  <c r="B36" i="103" l="1"/>
  <c r="C36" i="103" s="1"/>
  <c r="E35" i="53"/>
  <c r="C35" i="53"/>
  <c r="B35" i="53" s="1"/>
  <c r="C27" i="51"/>
  <c r="D27" i="51" s="1"/>
  <c r="E27" i="51" s="1"/>
  <c r="E32" i="55"/>
  <c r="D31" i="55"/>
  <c r="B37" i="103" l="1"/>
  <c r="C37" i="103" s="1"/>
  <c r="E36" i="53"/>
  <c r="C36" i="53"/>
  <c r="B36" i="53" s="1"/>
  <c r="C28" i="51"/>
  <c r="D28" i="51" s="1"/>
  <c r="E28" i="51" s="1"/>
  <c r="E33" i="55"/>
  <c r="D32" i="55"/>
  <c r="B38" i="103" l="1"/>
  <c r="C38" i="103" s="1"/>
  <c r="E37" i="53"/>
  <c r="C37" i="53"/>
  <c r="B37" i="53" s="1"/>
  <c r="C29" i="51"/>
  <c r="D29" i="51" s="1"/>
  <c r="E29" i="51" s="1"/>
  <c r="E34" i="55"/>
  <c r="D33" i="55"/>
  <c r="B39" i="103" l="1"/>
  <c r="C39" i="103" s="1"/>
  <c r="E38" i="53"/>
  <c r="C38" i="53"/>
  <c r="B38" i="53" s="1"/>
  <c r="C30" i="51"/>
  <c r="D30" i="51" s="1"/>
  <c r="E30" i="51" s="1"/>
  <c r="E35" i="55"/>
  <c r="D34" i="55"/>
  <c r="B40" i="103" l="1"/>
  <c r="C40" i="103" s="1"/>
  <c r="E39" i="53"/>
  <c r="C39" i="53"/>
  <c r="B39" i="53" s="1"/>
  <c r="C31" i="51"/>
  <c r="D31" i="51" s="1"/>
  <c r="E31" i="51" s="1"/>
  <c r="E36" i="55"/>
  <c r="D35" i="55"/>
  <c r="B41" i="103" l="1"/>
  <c r="C41" i="103" s="1"/>
  <c r="E40" i="53"/>
  <c r="C40" i="53"/>
  <c r="B40" i="53" s="1"/>
  <c r="C32" i="51"/>
  <c r="D32" i="51" s="1"/>
  <c r="E32" i="51" s="1"/>
  <c r="E37" i="55"/>
  <c r="D36" i="55"/>
  <c r="B42" i="103" l="1"/>
  <c r="C42" i="103" s="1"/>
  <c r="E41" i="53"/>
  <c r="C41" i="53"/>
  <c r="B41" i="53" s="1"/>
  <c r="C33" i="51"/>
  <c r="D33" i="51" s="1"/>
  <c r="E33" i="51" s="1"/>
  <c r="E38" i="55"/>
  <c r="D37" i="55"/>
  <c r="B43" i="103" l="1"/>
  <c r="C43" i="103" s="1"/>
  <c r="E42" i="53"/>
  <c r="C42" i="53"/>
  <c r="B42" i="53" s="1"/>
  <c r="C34" i="51"/>
  <c r="D34" i="51" s="1"/>
  <c r="E34" i="51" s="1"/>
  <c r="E39" i="55"/>
  <c r="D38" i="55"/>
  <c r="B44" i="103" l="1"/>
  <c r="C44" i="103" s="1"/>
  <c r="E43" i="53"/>
  <c r="C43" i="53"/>
  <c r="B43" i="53" s="1"/>
  <c r="C35" i="51"/>
  <c r="D35" i="51" s="1"/>
  <c r="E35" i="51" s="1"/>
  <c r="E40" i="55"/>
  <c r="D39" i="55"/>
  <c r="B45" i="103" l="1"/>
  <c r="C45" i="103" s="1"/>
  <c r="E44" i="53"/>
  <c r="C44" i="53"/>
  <c r="B44" i="53" s="1"/>
  <c r="C36" i="51"/>
  <c r="D36" i="51" s="1"/>
  <c r="E36" i="51" s="1"/>
  <c r="E41" i="55"/>
  <c r="D40" i="55"/>
  <c r="B46" i="103" l="1"/>
  <c r="C46" i="103" s="1"/>
  <c r="E45" i="53"/>
  <c r="C45" i="53"/>
  <c r="B45" i="53" s="1"/>
  <c r="C37" i="51"/>
  <c r="D37" i="51" s="1"/>
  <c r="E37" i="51" s="1"/>
  <c r="E42" i="55"/>
  <c r="D41" i="55"/>
  <c r="B47" i="103" l="1"/>
  <c r="C47" i="103" s="1"/>
  <c r="E46" i="53"/>
  <c r="C46" i="53"/>
  <c r="B46" i="53" s="1"/>
  <c r="C38" i="51"/>
  <c r="D38" i="51" s="1"/>
  <c r="E38" i="51" s="1"/>
  <c r="E43" i="55"/>
  <c r="D42" i="55"/>
  <c r="B48" i="103" l="1"/>
  <c r="C48" i="103" s="1"/>
  <c r="E47" i="53"/>
  <c r="C47" i="53"/>
  <c r="B47" i="53" s="1"/>
  <c r="C39" i="51"/>
  <c r="D39" i="51" s="1"/>
  <c r="E39" i="51" s="1"/>
  <c r="E44" i="55"/>
  <c r="D43" i="55"/>
  <c r="B49" i="103" l="1"/>
  <c r="C49" i="103" s="1"/>
  <c r="E48" i="53"/>
  <c r="C48" i="53"/>
  <c r="B48" i="53" s="1"/>
  <c r="C40" i="51"/>
  <c r="D40" i="51" s="1"/>
  <c r="E40" i="51" s="1"/>
  <c r="E45" i="55"/>
  <c r="D44" i="55"/>
  <c r="B50" i="103" l="1"/>
  <c r="C50" i="103" s="1"/>
  <c r="E49" i="53"/>
  <c r="C49" i="53"/>
  <c r="B49" i="53" s="1"/>
  <c r="C41" i="51"/>
  <c r="D41" i="51" s="1"/>
  <c r="E41" i="51" s="1"/>
  <c r="E46" i="55"/>
  <c r="D45" i="55"/>
  <c r="C42" i="51" l="1"/>
  <c r="D42" i="51" s="1"/>
  <c r="E42" i="51" s="1"/>
  <c r="E47" i="55"/>
  <c r="D46" i="55"/>
  <c r="C43" i="51" l="1"/>
  <c r="D43" i="51" s="1"/>
  <c r="E43" i="51" s="1"/>
  <c r="E48" i="55"/>
  <c r="D47" i="55"/>
  <c r="C44" i="51" l="1"/>
  <c r="D44" i="51" s="1"/>
  <c r="E44" i="51" s="1"/>
  <c r="E49" i="55"/>
  <c r="D48" i="55"/>
  <c r="C45" i="51" l="1"/>
  <c r="D45" i="51" s="1"/>
  <c r="E45" i="51" s="1"/>
  <c r="E50" i="55"/>
  <c r="D49" i="55"/>
  <c r="C46" i="51" l="1"/>
  <c r="D46" i="51" s="1"/>
  <c r="E46" i="51" s="1"/>
  <c r="E51" i="55"/>
  <c r="D50" i="55"/>
  <c r="C47" i="51" l="1"/>
  <c r="D47" i="51" s="1"/>
  <c r="E47" i="51" s="1"/>
  <c r="E52" i="55"/>
  <c r="D51" i="55"/>
  <c r="C48" i="51" l="1"/>
  <c r="D48" i="51" s="1"/>
  <c r="E48" i="51" s="1"/>
  <c r="E53" i="55"/>
  <c r="D53" i="55" s="1"/>
  <c r="D52" i="55"/>
  <c r="C49" i="51" l="1"/>
  <c r="D49" i="51" s="1"/>
  <c r="E49" i="51" s="1"/>
  <c r="C50" i="51" l="1"/>
  <c r="D50" i="51" s="1"/>
  <c r="E50" i="51" s="1"/>
  <c r="C51" i="51" l="1"/>
  <c r="D51" i="51" s="1"/>
  <c r="E51" i="51" s="1"/>
  <c r="C52" i="51" l="1"/>
  <c r="D52" i="51" s="1"/>
  <c r="E52" i="51" s="1"/>
  <c r="C53" i="51" l="1"/>
  <c r="D53" i="51" s="1"/>
  <c r="E53" i="51" s="1"/>
  <c r="C54" i="51" l="1"/>
  <c r="D54" i="51" s="1"/>
  <c r="E54" i="51" s="1"/>
  <c r="C55" i="51" l="1"/>
  <c r="D55" i="51" s="1"/>
  <c r="E55" i="51" s="1"/>
  <c r="C56" i="51" l="1"/>
  <c r="D56" i="51" s="1"/>
  <c r="E56" i="51" s="1"/>
  <c r="C57" i="51" l="1"/>
  <c r="D57" i="51" s="1"/>
  <c r="E57" i="51" s="1"/>
  <c r="C58" i="51" l="1"/>
  <c r="D58" i="51" s="1"/>
  <c r="E58" i="51" s="1"/>
  <c r="C59" i="51" l="1"/>
  <c r="D59" i="51" s="1"/>
  <c r="E59" i="51" s="1"/>
  <c r="C60" i="51" l="1"/>
  <c r="D60" i="51" s="1"/>
  <c r="E60" i="51" s="1"/>
  <c r="C61" i="51" l="1"/>
  <c r="D61" i="51" s="1"/>
  <c r="E61" i="51" s="1"/>
  <c r="C62" i="51" l="1"/>
  <c r="D62" i="51" s="1"/>
  <c r="E62" i="51" s="1"/>
  <c r="C63" i="51" l="1"/>
  <c r="D63" i="51" s="1"/>
  <c r="E63" i="51" s="1"/>
  <c r="C64" i="51" l="1"/>
  <c r="D64" i="51" s="1"/>
  <c r="E64" i="51" s="1"/>
  <c r="C65" i="51" l="1"/>
  <c r="D65" i="51" s="1"/>
  <c r="E65" i="51" s="1"/>
  <c r="C66" i="51" l="1"/>
  <c r="D66" i="51" s="1"/>
  <c r="E66" i="51" s="1"/>
  <c r="C67" i="51" l="1"/>
  <c r="D67" i="51" s="1"/>
  <c r="E67" i="51" s="1"/>
  <c r="C68" i="51" l="1"/>
  <c r="D68" i="51" s="1"/>
  <c r="E68" i="51" s="1"/>
  <c r="C69" i="51" l="1"/>
  <c r="D69" i="51" s="1"/>
  <c r="E69" i="51" s="1"/>
  <c r="C70" i="51" l="1"/>
  <c r="D70" i="51" s="1"/>
  <c r="E70" i="51" s="1"/>
  <c r="C71" i="51" l="1"/>
  <c r="D71" i="51" s="1"/>
  <c r="E71" i="51" s="1"/>
  <c r="C72" i="51" l="1"/>
  <c r="D72" i="51" s="1"/>
  <c r="E72" i="51" s="1"/>
  <c r="C73" i="51" l="1"/>
  <c r="D73" i="51" s="1"/>
  <c r="E73" i="51" s="1"/>
  <c r="C74" i="51" l="1"/>
  <c r="D74" i="51" s="1"/>
  <c r="E74" i="51" s="1"/>
  <c r="C75" i="51" l="1"/>
  <c r="D75" i="51" s="1"/>
  <c r="E75" i="51" s="1"/>
  <c r="C76" i="51" l="1"/>
  <c r="D76" i="51" s="1"/>
  <c r="E76" i="51" s="1"/>
  <c r="C77" i="51" l="1"/>
  <c r="D77" i="51" s="1"/>
  <c r="E77" i="51" s="1"/>
  <c r="C78" i="51" l="1"/>
  <c r="D78" i="51" s="1"/>
  <c r="E78" i="51" s="1"/>
  <c r="C79" i="51" l="1"/>
  <c r="D79" i="51" s="1"/>
  <c r="E79" i="51" s="1"/>
  <c r="C80" i="51" l="1"/>
  <c r="D80" i="51" s="1"/>
  <c r="E80" i="51" s="1"/>
  <c r="C81" i="51" l="1"/>
  <c r="D81" i="51" s="1"/>
  <c r="E81" i="51" s="1"/>
  <c r="C82" i="51" l="1"/>
  <c r="D82" i="51" s="1"/>
  <c r="E82" i="51" s="1"/>
  <c r="C83" i="51" l="1"/>
  <c r="D83" i="51" s="1"/>
  <c r="E83" i="51" s="1"/>
  <c r="C84" i="51" l="1"/>
  <c r="D84" i="51" s="1"/>
  <c r="E84" i="51" s="1"/>
  <c r="C85" i="51" l="1"/>
  <c r="D85" i="51" s="1"/>
  <c r="E85" i="51" s="1"/>
  <c r="C86" i="51" l="1"/>
  <c r="D86" i="51" s="1"/>
  <c r="E86" i="51" s="1"/>
  <c r="C87" i="51" l="1"/>
  <c r="D87" i="51" s="1"/>
  <c r="E87" i="51" s="1"/>
  <c r="C88" i="51" l="1"/>
  <c r="D88" i="51" s="1"/>
  <c r="E88" i="51" s="1"/>
  <c r="C89" i="51" l="1"/>
  <c r="D89" i="51" s="1"/>
  <c r="E89" i="51" s="1"/>
  <c r="C90" i="51" l="1"/>
  <c r="D90" i="51" s="1"/>
  <c r="E90" i="51" s="1"/>
  <c r="C91" i="51" l="1"/>
  <c r="D91" i="51" s="1"/>
  <c r="E91" i="51" s="1"/>
  <c r="C92" i="51" l="1"/>
  <c r="D92" i="51" s="1"/>
  <c r="E92" i="51" s="1"/>
  <c r="C93" i="51" l="1"/>
  <c r="D93" i="51" s="1"/>
  <c r="E93" i="51" s="1"/>
  <c r="C94" i="51" l="1"/>
  <c r="D94" i="51" s="1"/>
  <c r="E94" i="51" s="1"/>
  <c r="C95" i="51" l="1"/>
  <c r="D95" i="51" s="1"/>
  <c r="E95" i="51" s="1"/>
  <c r="C96" i="51" l="1"/>
  <c r="D96" i="51" s="1"/>
  <c r="E96" i="51" s="1"/>
  <c r="C97" i="51" l="1"/>
  <c r="D97" i="51" s="1"/>
  <c r="E97" i="51" s="1"/>
  <c r="C98" i="51" l="1"/>
  <c r="D98" i="51" s="1"/>
  <c r="E98" i="51" s="1"/>
  <c r="C99" i="51" l="1"/>
  <c r="D99" i="51" s="1"/>
  <c r="E99" i="51" s="1"/>
  <c r="C100" i="51" l="1"/>
  <c r="D100" i="51" s="1"/>
  <c r="E100" i="51" s="1"/>
  <c r="C101" i="51" l="1"/>
  <c r="D101" i="51" s="1"/>
  <c r="E101" i="51" s="1"/>
  <c r="C102" i="51" l="1"/>
  <c r="D102" i="51" s="1"/>
  <c r="E102" i="51" s="1"/>
  <c r="C103" i="51" l="1"/>
  <c r="D103" i="51" s="1"/>
  <c r="E103" i="51" s="1"/>
  <c r="C104" i="51" l="1"/>
  <c r="D104" i="51" s="1"/>
  <c r="E104" i="51" s="1"/>
  <c r="C105" i="51" l="1"/>
  <c r="D105" i="51" s="1"/>
  <c r="E105" i="51" s="1"/>
  <c r="C106" i="51" l="1"/>
  <c r="D106" i="51" s="1"/>
  <c r="E106" i="51" s="1"/>
  <c r="C107" i="51" l="1"/>
  <c r="D107" i="51" s="1"/>
  <c r="E107" i="51" s="1"/>
  <c r="C108" i="51" l="1"/>
  <c r="D108" i="51" s="1"/>
  <c r="E108" i="51" s="1"/>
  <c r="C109" i="51" l="1"/>
  <c r="D109" i="51" s="1"/>
  <c r="E109" i="51" s="1"/>
  <c r="C110" i="51" l="1"/>
  <c r="D110" i="51" s="1"/>
  <c r="E110" i="51" s="1"/>
  <c r="C111" i="51" l="1"/>
  <c r="D111" i="51" s="1"/>
  <c r="E111" i="51" s="1"/>
  <c r="C112" i="51" l="1"/>
  <c r="D112" i="51" s="1"/>
  <c r="E112" i="51" s="1"/>
  <c r="C113" i="51" l="1"/>
  <c r="D113" i="51" s="1"/>
  <c r="E113" i="51" s="1"/>
  <c r="C114" i="51" l="1"/>
  <c r="D114" i="51" s="1"/>
  <c r="E114" i="51" s="1"/>
  <c r="C115" i="51" l="1"/>
  <c r="D115" i="51" s="1"/>
  <c r="E115" i="51" s="1"/>
  <c r="C116" i="51" l="1"/>
  <c r="D116" i="51" s="1"/>
  <c r="E116" i="51" s="1"/>
  <c r="C117" i="51" l="1"/>
  <c r="D117" i="51" s="1"/>
  <c r="E117" i="51" s="1"/>
  <c r="C118" i="51" l="1"/>
  <c r="D118" i="51" s="1"/>
  <c r="E118" i="51" s="1"/>
  <c r="C119" i="51" l="1"/>
  <c r="D119" i="51" s="1"/>
  <c r="E119" i="51" s="1"/>
  <c r="C120" i="51" l="1"/>
  <c r="D120" i="51" s="1"/>
  <c r="E120" i="51" s="1"/>
  <c r="C121" i="51" l="1"/>
  <c r="D121" i="51" s="1"/>
  <c r="E121" i="51" s="1"/>
  <c r="C122" i="51" l="1"/>
  <c r="D122" i="51" s="1"/>
  <c r="E122" i="51" s="1"/>
  <c r="C123" i="51" l="1"/>
  <c r="D123" i="51" s="1"/>
  <c r="E123" i="51" s="1"/>
  <c r="C124" i="51" l="1"/>
  <c r="D124" i="51" s="1"/>
  <c r="E124" i="51" s="1"/>
  <c r="C125" i="51" l="1"/>
  <c r="D125" i="51" s="1"/>
  <c r="E125" i="51" s="1"/>
  <c r="C126" i="51" l="1"/>
  <c r="D126" i="51" s="1"/>
  <c r="E126" i="51" s="1"/>
  <c r="C127" i="51" l="1"/>
  <c r="D127" i="51" s="1"/>
  <c r="E127" i="51" s="1"/>
  <c r="C128" i="51" l="1"/>
  <c r="D128" i="51" s="1"/>
  <c r="E128" i="51" s="1"/>
  <c r="C129" i="51" l="1"/>
  <c r="D129" i="51" s="1"/>
  <c r="E129" i="51" s="1"/>
  <c r="C130" i="51" l="1"/>
  <c r="D130" i="51" s="1"/>
  <c r="E130" i="51" s="1"/>
  <c r="C131" i="51" l="1"/>
  <c r="D131" i="51" s="1"/>
  <c r="E131" i="51" s="1"/>
  <c r="C132" i="51" l="1"/>
  <c r="D132" i="51" s="1"/>
  <c r="E132" i="51" s="1"/>
  <c r="C133" i="51" l="1"/>
  <c r="D133" i="51" s="1"/>
  <c r="E133" i="51" s="1"/>
  <c r="C134" i="51" l="1"/>
  <c r="D134" i="51" s="1"/>
  <c r="E134" i="51" s="1"/>
  <c r="C135" i="51" l="1"/>
  <c r="D135" i="51" s="1"/>
  <c r="E135" i="51" s="1"/>
  <c r="C136" i="51" l="1"/>
  <c r="D136" i="51" s="1"/>
  <c r="E136" i="51" s="1"/>
  <c r="C137" i="51" l="1"/>
  <c r="D137" i="51" s="1"/>
  <c r="E137" i="51" s="1"/>
  <c r="C138" i="51" l="1"/>
  <c r="D138" i="51" s="1"/>
  <c r="E138" i="51" s="1"/>
  <c r="C139" i="51" l="1"/>
  <c r="D139" i="51" s="1"/>
  <c r="E139" i="51" s="1"/>
  <c r="C140" i="51" l="1"/>
  <c r="D140" i="51" s="1"/>
  <c r="E140" i="51" s="1"/>
  <c r="C141" i="51" l="1"/>
  <c r="D141" i="51" s="1"/>
  <c r="E141" i="51" s="1"/>
  <c r="C142" i="51" l="1"/>
  <c r="D142" i="51" s="1"/>
  <c r="E142" i="51" s="1"/>
  <c r="C143" i="51" l="1"/>
  <c r="D143" i="51" s="1"/>
  <c r="E143" i="51" s="1"/>
  <c r="C144" i="51" l="1"/>
  <c r="D144" i="51" s="1"/>
  <c r="E144" i="51" s="1"/>
  <c r="C145" i="51" l="1"/>
  <c r="D145" i="51" s="1"/>
  <c r="E145" i="51" s="1"/>
  <c r="C146" i="51" l="1"/>
  <c r="D146" i="51" s="1"/>
  <c r="E146" i="51" s="1"/>
  <c r="C147" i="51" l="1"/>
  <c r="D147" i="51" s="1"/>
  <c r="E147" i="51" s="1"/>
  <c r="C148" i="51" l="1"/>
  <c r="D148" i="51" s="1"/>
  <c r="E148" i="51" s="1"/>
  <c r="C149" i="51" l="1"/>
  <c r="D149" i="51" s="1"/>
  <c r="E149" i="51" s="1"/>
  <c r="C150" i="51" l="1"/>
  <c r="D150" i="51" s="1"/>
  <c r="E150" i="51" s="1"/>
  <c r="C151" i="51" l="1"/>
  <c r="D151" i="51" s="1"/>
  <c r="E151" i="51" s="1"/>
  <c r="C152" i="51" l="1"/>
  <c r="D152" i="51" s="1"/>
  <c r="E152" i="51" s="1"/>
  <c r="C153" i="51" l="1"/>
  <c r="D153" i="51" s="1"/>
  <c r="E153" i="51" s="1"/>
  <c r="E154" i="51" l="1"/>
  <c r="C154" i="51"/>
  <c r="D154" i="51" s="1"/>
  <c r="C155" i="51" l="1"/>
  <c r="D155" i="51" s="1"/>
  <c r="E155" i="51" s="1"/>
  <c r="C156" i="51" l="1"/>
  <c r="D156" i="51" s="1"/>
  <c r="E156" i="51" s="1"/>
  <c r="C157" i="51" l="1"/>
  <c r="D157" i="51" s="1"/>
  <c r="E157" i="51" s="1"/>
  <c r="C158" i="51" l="1"/>
  <c r="D158" i="51" s="1"/>
  <c r="E158" i="51" s="1"/>
  <c r="C159" i="51" l="1"/>
  <c r="D159" i="51" s="1"/>
  <c r="E159" i="51" s="1"/>
  <c r="C160" i="51" l="1"/>
  <c r="D160" i="51" s="1"/>
  <c r="E160" i="51" s="1"/>
  <c r="E161" i="51" l="1"/>
  <c r="C161" i="51"/>
  <c r="D161" i="51" s="1"/>
  <c r="C162" i="51" l="1"/>
  <c r="D162" i="51" s="1"/>
  <c r="E162" i="51" s="1"/>
  <c r="C163" i="51" l="1"/>
  <c r="D163" i="51" s="1"/>
  <c r="E163" i="51" s="1"/>
  <c r="C164" i="51" l="1"/>
  <c r="D164" i="51" s="1"/>
  <c r="E164" i="51" s="1"/>
  <c r="C165" i="51" l="1"/>
  <c r="D165" i="51" s="1"/>
  <c r="E165" i="51" s="1"/>
  <c r="C166" i="51" l="1"/>
  <c r="D166" i="51" s="1"/>
  <c r="E166" i="51" s="1"/>
  <c r="C167" i="51" l="1"/>
  <c r="D167" i="51" s="1"/>
  <c r="E167" i="51" s="1"/>
  <c r="C168" i="51" l="1"/>
  <c r="D168" i="51" s="1"/>
  <c r="E168" i="51" s="1"/>
  <c r="E169" i="51" l="1"/>
  <c r="C169" i="51"/>
  <c r="D169" i="51" s="1"/>
  <c r="C170" i="51" l="1"/>
  <c r="D170" i="51" s="1"/>
  <c r="E170" i="51" s="1"/>
  <c r="C171" i="51" l="1"/>
  <c r="D171" i="51" s="1"/>
  <c r="E171" i="51" s="1"/>
  <c r="C172" i="51" l="1"/>
  <c r="D172" i="51" s="1"/>
  <c r="E172" i="51" s="1"/>
  <c r="C173" i="51" l="1"/>
  <c r="D173" i="51" s="1"/>
  <c r="E173" i="51" s="1"/>
  <c r="C174" i="51" l="1"/>
  <c r="D174" i="51" s="1"/>
  <c r="E174" i="51" s="1"/>
  <c r="C175" i="51" l="1"/>
  <c r="D175" i="51" s="1"/>
  <c r="E175" i="51" s="1"/>
  <c r="C176" i="51" l="1"/>
  <c r="D176" i="51" s="1"/>
  <c r="E176" i="51" s="1"/>
  <c r="E177" i="51" l="1"/>
  <c r="C177" i="51"/>
  <c r="D177" i="51" s="1"/>
  <c r="C178" i="51" l="1"/>
  <c r="D178" i="51" s="1"/>
  <c r="E178" i="51" s="1"/>
  <c r="C179" i="51" l="1"/>
  <c r="D179" i="51" s="1"/>
  <c r="E179" i="51" s="1"/>
  <c r="C180" i="51" l="1"/>
  <c r="D180" i="51" s="1"/>
  <c r="E180" i="51" s="1"/>
  <c r="C181" i="51" l="1"/>
  <c r="D181" i="51" s="1"/>
  <c r="E181" i="51" s="1"/>
  <c r="C182" i="51" l="1"/>
  <c r="D182" i="51" s="1"/>
  <c r="E182" i="51" s="1"/>
  <c r="C183" i="51" l="1"/>
  <c r="D183" i="51" s="1"/>
  <c r="E183" i="51" s="1"/>
  <c r="C184" i="51" l="1"/>
  <c r="D184" i="51" s="1"/>
  <c r="E184" i="51" s="1"/>
  <c r="C185" i="51" l="1"/>
  <c r="D185" i="51" s="1"/>
  <c r="E185" i="51" s="1"/>
  <c r="C186" i="51" l="1"/>
  <c r="D186" i="51" s="1"/>
  <c r="E186" i="51" s="1"/>
  <c r="C187" i="51" l="1"/>
  <c r="D187" i="51" s="1"/>
  <c r="E187" i="51" s="1"/>
  <c r="C188" i="51" l="1"/>
  <c r="D188" i="51" s="1"/>
  <c r="E188" i="51" s="1"/>
  <c r="C189" i="51" l="1"/>
  <c r="D189" i="51" s="1"/>
  <c r="E189" i="51" s="1"/>
  <c r="C190" i="51" l="1"/>
  <c r="D190" i="51" s="1"/>
  <c r="E190" i="51" s="1"/>
  <c r="C191" i="51" l="1"/>
  <c r="D191" i="51" s="1"/>
  <c r="E191" i="51" s="1"/>
  <c r="C192" i="51" l="1"/>
  <c r="D192" i="51" s="1"/>
  <c r="E192" i="51" s="1"/>
  <c r="C193" i="51" l="1"/>
  <c r="D193" i="51" s="1"/>
  <c r="E193" i="51" s="1"/>
  <c r="C194" i="51" l="1"/>
  <c r="D194" i="51" s="1"/>
  <c r="E194" i="51" s="1"/>
  <c r="C195" i="51" l="1"/>
  <c r="D195" i="51" s="1"/>
  <c r="E195" i="51" s="1"/>
  <c r="C196" i="51" l="1"/>
  <c r="D196" i="51" s="1"/>
  <c r="E196" i="51" s="1"/>
  <c r="C197" i="51" l="1"/>
  <c r="D197" i="51" s="1"/>
  <c r="E197" i="51" s="1"/>
  <c r="C198" i="51" l="1"/>
  <c r="D198" i="51" s="1"/>
  <c r="E198" i="51" s="1"/>
  <c r="C199" i="51" l="1"/>
  <c r="D199" i="51" s="1"/>
  <c r="E199" i="51" s="1"/>
  <c r="C200" i="51" l="1"/>
  <c r="D200" i="51" s="1"/>
  <c r="E200" i="51" s="1"/>
  <c r="C201" i="51" l="1"/>
  <c r="D201" i="51" s="1"/>
  <c r="E201" i="51" s="1"/>
  <c r="C202" i="51" l="1"/>
  <c r="D202" i="51" s="1"/>
  <c r="E202" i="51" s="1"/>
  <c r="C203" i="51" l="1"/>
  <c r="D203" i="51" s="1"/>
  <c r="E203" i="51" s="1"/>
  <c r="C204" i="51" l="1"/>
  <c r="D204" i="51" s="1"/>
  <c r="E204" i="51" s="1"/>
  <c r="C205" i="51" l="1"/>
  <c r="D205" i="51" s="1"/>
  <c r="E205" i="51" s="1"/>
  <c r="C206" i="51" l="1"/>
  <c r="D206" i="51" s="1"/>
  <c r="E206" i="51" s="1"/>
  <c r="C207" i="51" l="1"/>
  <c r="D207" i="51" s="1"/>
  <c r="E207" i="51" s="1"/>
  <c r="C208" i="51" l="1"/>
  <c r="D208" i="51" s="1"/>
  <c r="E208" i="51" s="1"/>
  <c r="C209" i="51" l="1"/>
  <c r="D209" i="51" s="1"/>
  <c r="E209" i="51" s="1"/>
  <c r="C210" i="51" l="1"/>
  <c r="D210" i="51" s="1"/>
  <c r="E210" i="51" s="1"/>
  <c r="C211" i="51" l="1"/>
  <c r="D211" i="51" s="1"/>
  <c r="E211" i="51" s="1"/>
  <c r="C212" i="51" l="1"/>
  <c r="D212" i="51" s="1"/>
  <c r="E212" i="51" s="1"/>
  <c r="C213" i="51" l="1"/>
  <c r="D213" i="51" s="1"/>
  <c r="E213" i="51" s="1"/>
  <c r="C214" i="51" l="1"/>
  <c r="D214" i="51" s="1"/>
  <c r="E214" i="51" s="1"/>
  <c r="C215" i="51" l="1"/>
  <c r="D215" i="51" s="1"/>
  <c r="E215" i="51" s="1"/>
  <c r="C216" i="51" l="1"/>
  <c r="D216" i="51" s="1"/>
  <c r="E216" i="51" s="1"/>
  <c r="C217" i="51" l="1"/>
  <c r="D217" i="51" s="1"/>
  <c r="E217" i="51" s="1"/>
  <c r="C218" i="51" l="1"/>
  <c r="D218" i="51" s="1"/>
  <c r="E218" i="51" s="1"/>
  <c r="C219" i="51" l="1"/>
  <c r="D219" i="51" s="1"/>
  <c r="E219" i="51" s="1"/>
  <c r="C220" i="51" l="1"/>
  <c r="D220" i="51" s="1"/>
  <c r="E220" i="51" s="1"/>
  <c r="C221" i="51" l="1"/>
  <c r="D221" i="51" s="1"/>
  <c r="E221" i="51" s="1"/>
  <c r="C222" i="51" l="1"/>
  <c r="D222" i="51" s="1"/>
  <c r="E222" i="51" s="1"/>
  <c r="C223" i="51" l="1"/>
  <c r="D223" i="51" s="1"/>
  <c r="E223" i="51" s="1"/>
  <c r="C224" i="51" l="1"/>
  <c r="D224" i="51" s="1"/>
  <c r="E224" i="51" s="1"/>
  <c r="C225" i="51" l="1"/>
  <c r="D225" i="51" s="1"/>
  <c r="E225" i="51" s="1"/>
  <c r="C226" i="51" l="1"/>
  <c r="D226" i="51" s="1"/>
  <c r="E226" i="51" s="1"/>
  <c r="C227" i="51" l="1"/>
  <c r="D227" i="51" s="1"/>
  <c r="E227" i="51" s="1"/>
  <c r="C228" i="51" l="1"/>
  <c r="D228" i="51" s="1"/>
  <c r="E228" i="51" s="1"/>
  <c r="C229" i="51" l="1"/>
  <c r="D229" i="51" s="1"/>
  <c r="E229" i="51" s="1"/>
  <c r="C230" i="51" l="1"/>
  <c r="D230" i="51" s="1"/>
  <c r="E230" i="51" s="1"/>
  <c r="C231" i="51" l="1"/>
  <c r="D231" i="51" s="1"/>
  <c r="E231" i="51" s="1"/>
  <c r="C232" i="51" l="1"/>
  <c r="D232" i="51" s="1"/>
  <c r="E232" i="51" s="1"/>
  <c r="C233" i="51" l="1"/>
  <c r="D233" i="51" s="1"/>
  <c r="E233" i="51" s="1"/>
  <c r="C234" i="51" l="1"/>
  <c r="D234" i="51" s="1"/>
  <c r="E234" i="51" s="1"/>
  <c r="C235" i="51" l="1"/>
  <c r="D235" i="51" s="1"/>
  <c r="E235" i="51" s="1"/>
  <c r="C236" i="51" l="1"/>
  <c r="D236" i="51" s="1"/>
  <c r="E236" i="51" s="1"/>
  <c r="C237" i="51" l="1"/>
  <c r="D237" i="51" s="1"/>
  <c r="E237" i="51" s="1"/>
  <c r="C238" i="51" l="1"/>
  <c r="D238" i="51" s="1"/>
  <c r="E238" i="51" s="1"/>
  <c r="C239" i="51" l="1"/>
  <c r="D239" i="51" s="1"/>
  <c r="E239" i="51" s="1"/>
  <c r="C240" i="51" l="1"/>
  <c r="D240" i="51" s="1"/>
  <c r="E240" i="51" s="1"/>
  <c r="C241" i="51" l="1"/>
  <c r="D241" i="51" s="1"/>
  <c r="E241" i="51" s="1"/>
  <c r="C242" i="51" l="1"/>
  <c r="D242" i="51" s="1"/>
  <c r="E242" i="51" s="1"/>
  <c r="C243" i="51" l="1"/>
  <c r="D243" i="51" s="1"/>
  <c r="E243" i="51" s="1"/>
  <c r="C244" i="51" l="1"/>
  <c r="D244" i="51" s="1"/>
  <c r="E244" i="51" s="1"/>
  <c r="C245" i="51" l="1"/>
  <c r="D245" i="51" s="1"/>
  <c r="E245" i="51" s="1"/>
  <c r="C246" i="51" l="1"/>
  <c r="D246" i="51" s="1"/>
  <c r="E246" i="51" s="1"/>
  <c r="C247" i="51" l="1"/>
  <c r="D247" i="51" s="1"/>
  <c r="E247" i="51" s="1"/>
  <c r="C248" i="51" l="1"/>
  <c r="D248" i="51" s="1"/>
  <c r="E248" i="51" s="1"/>
  <c r="C249" i="51" l="1"/>
  <c r="D249" i="51" s="1"/>
  <c r="E249" i="51" s="1"/>
  <c r="C250" i="51" l="1"/>
  <c r="D250" i="51" s="1"/>
  <c r="E250" i="51" s="1"/>
  <c r="C251" i="51" l="1"/>
  <c r="D251" i="51" s="1"/>
  <c r="E251" i="51" s="1"/>
  <c r="C252" i="51" l="1"/>
  <c r="D252" i="51" s="1"/>
  <c r="E252" i="51" s="1"/>
  <c r="C253" i="51" l="1"/>
  <c r="D253" i="51" s="1"/>
  <c r="E253" i="51" s="1"/>
  <c r="C254" i="51" l="1"/>
  <c r="D254" i="51" s="1"/>
  <c r="E254" i="51" s="1"/>
  <c r="C255" i="51" l="1"/>
  <c r="D255" i="51" s="1"/>
  <c r="E255" i="51" s="1"/>
  <c r="C256" i="51" l="1"/>
  <c r="D256" i="51" s="1"/>
  <c r="E256" i="51" s="1"/>
  <c r="C257" i="51" l="1"/>
  <c r="D257" i="51" s="1"/>
  <c r="E257" i="51" s="1"/>
  <c r="C258" i="51" l="1"/>
  <c r="D258" i="51" s="1"/>
  <c r="E258" i="51" s="1"/>
  <c r="C259" i="51" l="1"/>
  <c r="D259" i="51" s="1"/>
  <c r="E259" i="51" s="1"/>
  <c r="C260" i="51" l="1"/>
  <c r="D260" i="51" s="1"/>
  <c r="E260" i="51" s="1"/>
  <c r="C261" i="51" l="1"/>
  <c r="D261" i="51" s="1"/>
  <c r="E261" i="51" s="1"/>
  <c r="C262" i="51" l="1"/>
  <c r="D262" i="51" s="1"/>
  <c r="E262" i="51" s="1"/>
  <c r="C263" i="51" l="1"/>
  <c r="D263" i="51" s="1"/>
  <c r="E263" i="51" s="1"/>
  <c r="C264" i="51" l="1"/>
  <c r="D264" i="51" s="1"/>
  <c r="E264" i="51" s="1"/>
  <c r="C265" i="51" l="1"/>
  <c r="D265" i="51" s="1"/>
  <c r="E265" i="51" s="1"/>
  <c r="C266" i="51" l="1"/>
  <c r="D266" i="51" s="1"/>
  <c r="E266" i="51" s="1"/>
  <c r="C267" i="51" l="1"/>
  <c r="D267" i="51" s="1"/>
  <c r="E267" i="51" s="1"/>
  <c r="C268" i="51" l="1"/>
  <c r="D268" i="51" s="1"/>
  <c r="E268" i="51" s="1"/>
  <c r="C269" i="51" l="1"/>
  <c r="D269" i="51" s="1"/>
  <c r="E269" i="51" s="1"/>
  <c r="C270" i="51" l="1"/>
  <c r="D270" i="51" s="1"/>
  <c r="E270" i="51" s="1"/>
  <c r="C271" i="51" l="1"/>
  <c r="D271" i="51" s="1"/>
  <c r="E271" i="51" s="1"/>
  <c r="C272" i="51" l="1"/>
  <c r="D272" i="51" s="1"/>
  <c r="E272" i="51" s="1"/>
  <c r="C273" i="51" l="1"/>
  <c r="D273" i="51" s="1"/>
  <c r="E273" i="51" s="1"/>
  <c r="C274" i="51" l="1"/>
  <c r="D274" i="51" s="1"/>
  <c r="E274" i="51" s="1"/>
  <c r="C275" i="51" l="1"/>
  <c r="D275" i="51" s="1"/>
  <c r="E275" i="51" s="1"/>
  <c r="C276" i="51" l="1"/>
  <c r="D276" i="51" s="1"/>
  <c r="E276" i="51" s="1"/>
  <c r="C277" i="51" l="1"/>
  <c r="D277" i="51" s="1"/>
  <c r="E277" i="51" s="1"/>
  <c r="C278" i="51" l="1"/>
  <c r="D278" i="51" s="1"/>
  <c r="E278" i="51" s="1"/>
  <c r="C279" i="51" l="1"/>
  <c r="D279" i="51" s="1"/>
  <c r="E279" i="51" s="1"/>
  <c r="C280" i="51" l="1"/>
  <c r="D280" i="51" s="1"/>
  <c r="E280" i="51" s="1"/>
  <c r="C281" i="51" l="1"/>
  <c r="D281" i="51" s="1"/>
  <c r="E281" i="51" s="1"/>
  <c r="C282" i="51" l="1"/>
  <c r="D282" i="51" s="1"/>
  <c r="E282" i="51" s="1"/>
  <c r="C283" i="51" l="1"/>
  <c r="D283" i="51" s="1"/>
  <c r="E283" i="51" s="1"/>
  <c r="C284" i="51" l="1"/>
  <c r="D284" i="51" s="1"/>
  <c r="E284" i="51" s="1"/>
  <c r="C285" i="51" l="1"/>
  <c r="D285" i="51" s="1"/>
  <c r="E285" i="51" s="1"/>
  <c r="C286" i="51" l="1"/>
  <c r="D286" i="51" s="1"/>
  <c r="E286" i="51" s="1"/>
  <c r="C287" i="51" l="1"/>
  <c r="D287" i="51" s="1"/>
  <c r="E287" i="51" s="1"/>
  <c r="C288" i="51" l="1"/>
  <c r="D288" i="51" s="1"/>
  <c r="E288" i="51" s="1"/>
  <c r="C289" i="51" l="1"/>
  <c r="D289" i="51" s="1"/>
  <c r="E289" i="51" s="1"/>
  <c r="C290" i="51" l="1"/>
  <c r="D290" i="51" s="1"/>
  <c r="E290" i="51" s="1"/>
  <c r="C291" i="51" l="1"/>
  <c r="D291" i="51" s="1"/>
  <c r="E291" i="51" s="1"/>
  <c r="C292" i="51" l="1"/>
  <c r="D292" i="51" s="1"/>
  <c r="E292" i="51" s="1"/>
  <c r="C293" i="51" l="1"/>
  <c r="D293" i="51" s="1"/>
  <c r="E293" i="51" s="1"/>
  <c r="C294" i="51" l="1"/>
  <c r="D294" i="51" s="1"/>
  <c r="E294" i="51" s="1"/>
  <c r="C295" i="51" l="1"/>
  <c r="D295" i="51" s="1"/>
  <c r="E295" i="51" s="1"/>
  <c r="C296" i="51" l="1"/>
  <c r="D296" i="51" s="1"/>
  <c r="E296" i="51" s="1"/>
  <c r="C297" i="51" l="1"/>
  <c r="D297" i="51" s="1"/>
  <c r="E297" i="51" s="1"/>
  <c r="C298" i="51" l="1"/>
  <c r="D298" i="51" s="1"/>
  <c r="E298" i="51" s="1"/>
  <c r="C299" i="51" l="1"/>
  <c r="D299" i="51" s="1"/>
  <c r="E299" i="51" s="1"/>
  <c r="C300" i="51" l="1"/>
  <c r="D300" i="51" s="1"/>
  <c r="E300" i="51" s="1"/>
  <c r="C301" i="51" l="1"/>
  <c r="D301" i="51" s="1"/>
  <c r="E301" i="51" s="1"/>
  <c r="C302" i="51" l="1"/>
  <c r="D302" i="51" s="1"/>
  <c r="E302" i="51" s="1"/>
  <c r="C303" i="51" l="1"/>
  <c r="D303" i="51" s="1"/>
  <c r="E303" i="51" s="1"/>
  <c r="C304" i="51" l="1"/>
  <c r="D304" i="51" s="1"/>
  <c r="E304" i="51" s="1"/>
  <c r="C305" i="51" l="1"/>
  <c r="D305" i="51" s="1"/>
  <c r="E305" i="51" s="1"/>
  <c r="C306" i="51" l="1"/>
  <c r="D306" i="51" s="1"/>
  <c r="E306" i="51" s="1"/>
  <c r="C307" i="51" l="1"/>
  <c r="D307" i="51" s="1"/>
  <c r="E307" i="51" s="1"/>
  <c r="C308" i="51" l="1"/>
  <c r="D308" i="51" s="1"/>
  <c r="E308" i="51" s="1"/>
  <c r="C309" i="51" l="1"/>
  <c r="D309" i="51" s="1"/>
  <c r="E309" i="51" s="1"/>
  <c r="C310" i="51" l="1"/>
  <c r="D310" i="51" s="1"/>
  <c r="E310" i="51" s="1"/>
  <c r="C311" i="51" l="1"/>
  <c r="D311" i="51" s="1"/>
  <c r="E311" i="51" s="1"/>
  <c r="C312" i="51" l="1"/>
  <c r="D312" i="51" s="1"/>
  <c r="E312" i="51" s="1"/>
  <c r="E313" i="51" l="1"/>
  <c r="C313" i="51"/>
  <c r="D313" i="51" s="1"/>
  <c r="C314" i="51" l="1"/>
  <c r="D314" i="51" s="1"/>
  <c r="E314" i="51" s="1"/>
  <c r="C315" i="51" l="1"/>
  <c r="D315" i="51" s="1"/>
  <c r="E315" i="51" s="1"/>
  <c r="C316" i="51" l="1"/>
  <c r="D316" i="51" s="1"/>
  <c r="E316" i="51" s="1"/>
  <c r="C317" i="51" l="1"/>
  <c r="D317" i="51" s="1"/>
  <c r="E317" i="51" s="1"/>
  <c r="C318" i="51" l="1"/>
  <c r="D318" i="51" s="1"/>
  <c r="E318" i="51" s="1"/>
  <c r="C319" i="51" l="1"/>
  <c r="D319" i="51" s="1"/>
  <c r="E319" i="51" s="1"/>
  <c r="C320" i="51" l="1"/>
  <c r="D320" i="51" s="1"/>
  <c r="E320" i="51" s="1"/>
  <c r="C321" i="51" l="1"/>
  <c r="D321" i="51" s="1"/>
  <c r="E321" i="51" s="1"/>
  <c r="C322" i="51" l="1"/>
  <c r="D322" i="51" s="1"/>
  <c r="E322" i="51" s="1"/>
  <c r="C323" i="51" l="1"/>
  <c r="D323" i="51" s="1"/>
  <c r="E323" i="51" s="1"/>
  <c r="C324" i="51" l="1"/>
  <c r="D324" i="51" s="1"/>
  <c r="E324" i="51" s="1"/>
  <c r="C325" i="51" l="1"/>
  <c r="D325" i="51" s="1"/>
  <c r="E325" i="51" s="1"/>
  <c r="C326" i="51" l="1"/>
  <c r="D326" i="51" s="1"/>
  <c r="E326" i="51" s="1"/>
  <c r="C327" i="51" l="1"/>
  <c r="D327" i="51" s="1"/>
  <c r="E327" i="51" s="1"/>
  <c r="C328" i="51" l="1"/>
  <c r="D328" i="51" s="1"/>
  <c r="E328" i="51" s="1"/>
  <c r="C329" i="51" l="1"/>
  <c r="D329" i="51" s="1"/>
  <c r="E329" i="51" s="1"/>
  <c r="C330" i="51" l="1"/>
  <c r="D330" i="51" s="1"/>
  <c r="E330" i="51" s="1"/>
  <c r="C331" i="51" l="1"/>
  <c r="D331" i="51" s="1"/>
  <c r="E331" i="51" s="1"/>
  <c r="C332" i="51" l="1"/>
  <c r="D332" i="51" s="1"/>
  <c r="E332" i="51" s="1"/>
  <c r="C333" i="51" l="1"/>
  <c r="D333" i="51" s="1"/>
  <c r="E333" i="51" s="1"/>
  <c r="C334" i="51" l="1"/>
  <c r="D334" i="51" s="1"/>
  <c r="E334" i="51" s="1"/>
  <c r="C335" i="51" l="1"/>
  <c r="D335" i="51" s="1"/>
  <c r="E335" i="51" s="1"/>
  <c r="C336" i="51" l="1"/>
  <c r="D336" i="51" s="1"/>
  <c r="E336" i="51" s="1"/>
  <c r="C337" i="51" l="1"/>
  <c r="D337" i="51" s="1"/>
  <c r="E337" i="51" s="1"/>
  <c r="C338" i="51" l="1"/>
  <c r="D338" i="51" s="1"/>
  <c r="E338" i="51" s="1"/>
  <c r="C339" i="51" l="1"/>
  <c r="D339" i="51" s="1"/>
  <c r="E339" i="51" s="1"/>
  <c r="C340" i="51" l="1"/>
  <c r="D340" i="51" s="1"/>
  <c r="E340" i="51" s="1"/>
  <c r="C341" i="51" l="1"/>
  <c r="D341" i="51" s="1"/>
  <c r="E341" i="51" s="1"/>
  <c r="C342" i="51" l="1"/>
  <c r="D342" i="51" s="1"/>
  <c r="E342" i="51" s="1"/>
  <c r="C343" i="51" l="1"/>
  <c r="D343" i="51" s="1"/>
  <c r="E343" i="51" s="1"/>
  <c r="C344" i="51" l="1"/>
  <c r="D344" i="51" s="1"/>
  <c r="E344" i="51" s="1"/>
  <c r="C345" i="51" l="1"/>
  <c r="D345" i="51" s="1"/>
  <c r="E345" i="51" s="1"/>
  <c r="C346" i="51" l="1"/>
  <c r="D346" i="51" s="1"/>
  <c r="E346" i="51" s="1"/>
  <c r="C347" i="51" l="1"/>
  <c r="D347" i="51" s="1"/>
  <c r="E347" i="51" s="1"/>
  <c r="C348" i="51" l="1"/>
  <c r="D348" i="51" s="1"/>
  <c r="E348" i="51" s="1"/>
  <c r="C349" i="51" l="1"/>
  <c r="D349" i="51" s="1"/>
  <c r="E349" i="51" s="1"/>
  <c r="C350" i="51" l="1"/>
  <c r="D350" i="51" s="1"/>
  <c r="E350" i="51" s="1"/>
  <c r="C351" i="51" l="1"/>
  <c r="D351" i="51" s="1"/>
  <c r="E351" i="51" s="1"/>
  <c r="C352" i="51" l="1"/>
  <c r="D352" i="51" s="1"/>
  <c r="E352" i="51" s="1"/>
  <c r="C353" i="51" l="1"/>
  <c r="D353" i="51" s="1"/>
  <c r="E353" i="51" s="1"/>
  <c r="C354" i="51" l="1"/>
  <c r="D354" i="51" s="1"/>
  <c r="E354" i="51" s="1"/>
  <c r="C355" i="51" l="1"/>
  <c r="D355" i="51" s="1"/>
  <c r="E355" i="51" s="1"/>
  <c r="C356" i="51" l="1"/>
  <c r="D356" i="51" s="1"/>
  <c r="E356" i="51" s="1"/>
  <c r="C357" i="51" l="1"/>
  <c r="D357" i="51" s="1"/>
  <c r="E357" i="51" s="1"/>
  <c r="C358" i="51" l="1"/>
  <c r="D358" i="51" s="1"/>
  <c r="E358" i="51" s="1"/>
  <c r="C359" i="51" l="1"/>
  <c r="D359" i="51" s="1"/>
  <c r="E359" i="51" s="1"/>
  <c r="C360" i="51" l="1"/>
  <c r="D360" i="51" s="1"/>
  <c r="E360" i="51" s="1"/>
  <c r="C361" i="51" l="1"/>
  <c r="D361" i="51" s="1"/>
  <c r="E361" i="51" s="1"/>
  <c r="C362" i="51" l="1"/>
  <c r="D362" i="51" s="1"/>
  <c r="E362" i="51" s="1"/>
  <c r="C363" i="51" l="1"/>
  <c r="D363" i="51" s="1"/>
  <c r="E363" i="51" s="1"/>
  <c r="C364" i="51" l="1"/>
  <c r="D364" i="51" s="1"/>
  <c r="E364" i="51" s="1"/>
  <c r="C365" i="51" l="1"/>
  <c r="D365" i="51" s="1"/>
  <c r="E365" i="51" s="1"/>
  <c r="C366" i="51" l="1"/>
  <c r="D366" i="51" s="1"/>
  <c r="E366" i="51" s="1"/>
  <c r="C367" i="51" l="1"/>
  <c r="D367" i="51" s="1"/>
  <c r="E367" i="51" s="1"/>
  <c r="C368" i="51" l="1"/>
  <c r="D368" i="51" s="1"/>
  <c r="E368" i="51" s="1"/>
  <c r="C369" i="51" l="1"/>
  <c r="D369" i="51" s="1"/>
  <c r="E369" i="51" s="1"/>
  <c r="C370" i="51" l="1"/>
  <c r="D370" i="51" l="1"/>
  <c r="C371" i="51"/>
  <c r="D371" i="51" l="1"/>
  <c r="E370" i="51"/>
</calcChain>
</file>

<file path=xl/sharedStrings.xml><?xml version="1.0" encoding="utf-8"?>
<sst xmlns="http://schemas.openxmlformats.org/spreadsheetml/2006/main" count="1327" uniqueCount="311">
  <si>
    <t>PV</t>
  </si>
  <si>
    <t>FV</t>
  </si>
  <si>
    <t>i</t>
  </si>
  <si>
    <t>n</t>
  </si>
  <si>
    <t>x</t>
  </si>
  <si>
    <t>i/n</t>
  </si>
  <si>
    <t>n*x</t>
  </si>
  <si>
    <t>Present Value</t>
  </si>
  <si>
    <t>Future Value</t>
  </si>
  <si>
    <t>Annual Interest Rate</t>
  </si>
  <si>
    <t>Years</t>
  </si>
  <si>
    <t>Period Rate</t>
  </si>
  <si>
    <t>Total Periods</t>
  </si>
  <si>
    <t>Check</t>
  </si>
  <si>
    <t>Time 0</t>
  </si>
  <si>
    <t>Time 1</t>
  </si>
  <si>
    <t>Time 2</t>
  </si>
  <si>
    <t>Time 3</t>
  </si>
  <si>
    <t>Time 4</t>
  </si>
  <si>
    <t>Time 5</t>
  </si>
  <si>
    <t>Time 6</t>
  </si>
  <si>
    <t>Time 7</t>
  </si>
  <si>
    <t>Time 8</t>
  </si>
  <si>
    <t>Time 9</t>
  </si>
  <si>
    <t>Time 10</t>
  </si>
  <si>
    <t>Time</t>
  </si>
  <si>
    <t>Cash Flow</t>
  </si>
  <si>
    <t>Number of Compounding periods per year</t>
  </si>
  <si>
    <t>Individual FV of each amount</t>
  </si>
  <si>
    <t>Periods Remaining</t>
  </si>
  <si>
    <t>Cash Flow (Individual PV amount)</t>
  </si>
  <si>
    <t>Cash Flow (Individual FV amount)</t>
  </si>
  <si>
    <t>Individual PV of each amount</t>
  </si>
  <si>
    <t>You can put the zeros or not</t>
  </si>
  <si>
    <t>Check:</t>
  </si>
  <si>
    <t>Price of Machine is</t>
  </si>
  <si>
    <t>PV of Future Cash Flows</t>
  </si>
  <si>
    <t>Cash Flows and the NPV function</t>
  </si>
  <si>
    <t>Interest Rate = Discount Rate = i = APR =</t>
  </si>
  <si>
    <t>n =</t>
  </si>
  <si>
    <t>Method 1</t>
  </si>
  <si>
    <t>Method 2</t>
  </si>
  <si>
    <t>Cash Flow (out (+) and in (-) of wallet)</t>
  </si>
  <si>
    <t>Periods Left</t>
  </si>
  <si>
    <t>Cash Flows for NPV are 1) Into Investment is +, 2) Out of Investment is -</t>
  </si>
  <si>
    <t>NPV</t>
  </si>
  <si>
    <t>Totals</t>
  </si>
  <si>
    <r>
      <t xml:space="preserve">Key is to not include Time 0 value. From Excel: "Value1, value2, ... must be equally spaced in time and occur at the </t>
    </r>
    <r>
      <rPr>
        <b/>
        <u/>
        <sz val="11"/>
        <color indexed="8"/>
        <rFont val="Calibri"/>
        <family val="2"/>
      </rPr>
      <t>end</t>
    </r>
    <r>
      <rPr>
        <sz val="11"/>
        <color theme="1"/>
        <rFont val="Calibri"/>
        <family val="2"/>
        <scheme val="minor"/>
      </rPr>
      <t xml:space="preserve"> of each period." Also: Cash Flows are Opposite to other Financial Functions. If you want to include time 0 value, you must adding back in at the end. Think of it as into the investment is + and out of the investment is -.</t>
    </r>
  </si>
  <si>
    <t>Periods</t>
  </si>
  <si>
    <t>Example 14:</t>
  </si>
  <si>
    <t>APR = Annual Percentage Rate = i =</t>
  </si>
  <si>
    <t># of Compounding Periods per Year = n =</t>
  </si>
  <si>
    <r>
      <t xml:space="preserve">Period Rate = </t>
    </r>
    <r>
      <rPr>
        <b/>
        <sz val="16"/>
        <color indexed="8"/>
        <rFont val="Calibri"/>
        <family val="2"/>
      </rPr>
      <t>i/n</t>
    </r>
    <r>
      <rPr>
        <sz val="11"/>
        <color theme="1"/>
        <rFont val="Calibri"/>
        <family val="2"/>
        <scheme val="minor"/>
      </rPr>
      <t xml:space="preserve"> =</t>
    </r>
  </si>
  <si>
    <t>Example 15:</t>
  </si>
  <si>
    <t>Monthly Rate =</t>
  </si>
  <si>
    <r>
      <t xml:space="preserve">APR = Annual Percentage Rate (Required by the Truth-in-lending laws) = </t>
    </r>
    <r>
      <rPr>
        <b/>
        <sz val="16"/>
        <color indexed="8"/>
        <rFont val="Calibri"/>
        <family val="2"/>
      </rPr>
      <t>APR = i = i/n*n</t>
    </r>
    <r>
      <rPr>
        <sz val="11"/>
        <color theme="1"/>
        <rFont val="Calibri"/>
        <family val="2"/>
        <scheme val="minor"/>
      </rPr>
      <t xml:space="preserve"> =</t>
    </r>
  </si>
  <si>
    <t>Example 16:</t>
  </si>
  <si>
    <t>APR = i =</t>
  </si>
  <si>
    <r>
      <t>EAR</t>
    </r>
    <r>
      <rPr>
        <vertAlign val="subscript"/>
        <sz val="11"/>
        <color indexed="8"/>
        <rFont val="Calibri"/>
        <family val="2"/>
      </rPr>
      <t>Excel</t>
    </r>
    <r>
      <rPr>
        <sz val="11"/>
        <color theme="1"/>
        <rFont val="Calibri"/>
        <family val="2"/>
        <scheme val="minor"/>
      </rPr>
      <t xml:space="preserve"> = EFFECT(Nominal_Rate, Npery), where Nominal_Rate = APR = i and Npery = n</t>
    </r>
  </si>
  <si>
    <r>
      <t>APR</t>
    </r>
    <r>
      <rPr>
        <vertAlign val="subscript"/>
        <sz val="11"/>
        <color indexed="8"/>
        <rFont val="Calibri"/>
        <family val="2"/>
      </rPr>
      <t>1</t>
    </r>
    <r>
      <rPr>
        <sz val="11"/>
        <color theme="1"/>
        <rFont val="Calibri"/>
        <family val="2"/>
        <scheme val="minor"/>
      </rPr>
      <t xml:space="preserve"> = i =</t>
    </r>
  </si>
  <si>
    <r>
      <t>n</t>
    </r>
    <r>
      <rPr>
        <vertAlign val="subscript"/>
        <sz val="11"/>
        <color indexed="8"/>
        <rFont val="Calibri"/>
        <family val="2"/>
      </rPr>
      <t>1</t>
    </r>
    <r>
      <rPr>
        <sz val="11"/>
        <color theme="1"/>
        <rFont val="Calibri"/>
        <family val="2"/>
        <scheme val="minor"/>
      </rPr>
      <t xml:space="preserve"> =</t>
    </r>
  </si>
  <si>
    <r>
      <t>APR</t>
    </r>
    <r>
      <rPr>
        <vertAlign val="subscript"/>
        <sz val="11"/>
        <color indexed="8"/>
        <rFont val="Calibri"/>
        <family val="2"/>
      </rPr>
      <t>2</t>
    </r>
    <r>
      <rPr>
        <sz val="11"/>
        <color theme="1"/>
        <rFont val="Calibri"/>
        <family val="2"/>
        <scheme val="minor"/>
      </rPr>
      <t xml:space="preserve"> = i =</t>
    </r>
  </si>
  <si>
    <r>
      <t>n</t>
    </r>
    <r>
      <rPr>
        <vertAlign val="subscript"/>
        <sz val="11"/>
        <color indexed="8"/>
        <rFont val="Calibri"/>
        <family val="2"/>
      </rPr>
      <t>2</t>
    </r>
    <r>
      <rPr>
        <sz val="11"/>
        <color theme="1"/>
        <rFont val="Calibri"/>
        <family val="2"/>
        <scheme val="minor"/>
      </rPr>
      <t xml:space="preserve"> =</t>
    </r>
  </si>
  <si>
    <r>
      <t>EAR</t>
    </r>
    <r>
      <rPr>
        <vertAlign val="subscript"/>
        <sz val="11"/>
        <color indexed="8"/>
        <rFont val="Calibri"/>
        <family val="2"/>
      </rPr>
      <t>1</t>
    </r>
  </si>
  <si>
    <r>
      <t>EAR</t>
    </r>
    <r>
      <rPr>
        <vertAlign val="subscript"/>
        <sz val="11"/>
        <color indexed="8"/>
        <rFont val="Calibri"/>
        <family val="2"/>
      </rPr>
      <t>2</t>
    </r>
    <r>
      <rPr>
        <sz val="11"/>
        <color indexed="8"/>
        <rFont val="Calibri"/>
        <family val="2"/>
      </rPr>
      <t/>
    </r>
  </si>
  <si>
    <t>What is the APR and EAR?</t>
  </si>
  <si>
    <t>Days in Future =</t>
  </si>
  <si>
    <t>Check Amount =</t>
  </si>
  <si>
    <t>You get Today =</t>
  </si>
  <si>
    <t>Days in Year =</t>
  </si>
  <si>
    <t>APR =</t>
  </si>
  <si>
    <t>EAR =</t>
  </si>
  <si>
    <t>&lt;== correct because math formula does not truncate to an integer</t>
  </si>
  <si>
    <t>&lt;== Incorrect because the EFFECT function truncates npery to an integer</t>
  </si>
  <si>
    <t>If the EAR is 14.5% and you know that the number of compounding periods per year are 2, what is the APR?</t>
  </si>
  <si>
    <t>11.00% compounded 4 times a year earns more interest than 10.75% compounded 365 times a year.</t>
  </si>
  <si>
    <t>We could solve this by taking the FV of each value and then adding them up:</t>
  </si>
  <si>
    <t>x =</t>
  </si>
  <si>
    <t>Equal Payments Made At Equal Time Intervals = PMT =</t>
  </si>
  <si>
    <t>FV = FV(i/n,n*x,PMT,,0 or 1) =</t>
  </si>
  <si>
    <t>Total Paid in =</t>
  </si>
  <si>
    <t>Total Interest Earned =</t>
  </si>
  <si>
    <t>Words:</t>
  </si>
  <si>
    <t>Difference between Ordinary and Due =</t>
  </si>
  <si>
    <t>Monthly PMT =</t>
  </si>
  <si>
    <t xml:space="preserve">x = </t>
  </si>
  <si>
    <t>n for account is =</t>
  </si>
  <si>
    <t>Type= 0 or 1 ==&gt;</t>
  </si>
  <si>
    <t>check</t>
  </si>
  <si>
    <t>Solve for EAR first =</t>
  </si>
  <si>
    <t>n for PMT =</t>
  </si>
  <si>
    <t>Then from EAR, find APR (i) ==&gt;</t>
  </si>
  <si>
    <t>Then from APR (i), find period Rate ==&gt;</t>
  </si>
  <si>
    <t>Solve for Future Value =</t>
  </si>
  <si>
    <t>If I want to be a millionaire given the below investment data, how much should I invest at the end of each period?</t>
  </si>
  <si>
    <t>FV =</t>
  </si>
  <si>
    <t>i/n =</t>
  </si>
  <si>
    <t>PMT =</t>
  </si>
  <si>
    <t>Savings Plan for Daughter's college:</t>
  </si>
  <si>
    <t>FV check</t>
  </si>
  <si>
    <t>Inverse check</t>
  </si>
  <si>
    <t>i =</t>
  </si>
  <si>
    <t>PV =</t>
  </si>
  <si>
    <t>The long way:</t>
  </si>
  <si>
    <t>Amount</t>
  </si>
  <si>
    <t>i = APR (or Discount Rate)</t>
  </si>
  <si>
    <t>Age now =</t>
  </si>
  <si>
    <t>Age when you retire =</t>
  </si>
  <si>
    <t>Total Paid out =</t>
  </si>
  <si>
    <t>Total Received =</t>
  </si>
  <si>
    <t>Total Interest Received =</t>
  </si>
  <si>
    <t>i = Discount Rate =</t>
  </si>
  <si>
    <t>What is you monthly mortgage payment given the following financial details:</t>
  </si>
  <si>
    <t>i = APR =</t>
  </si>
  <si>
    <t xml:space="preserve">n = </t>
  </si>
  <si>
    <t>Age when you got get PMT any more =</t>
  </si>
  <si>
    <t>Given the below financial details for a loan, what is the APR and EAR?</t>
  </si>
  <si>
    <t>Loan amount = PV =</t>
  </si>
  <si>
    <t xml:space="preserve">n </t>
  </si>
  <si>
    <t>APR = i/n*n =</t>
  </si>
  <si>
    <t>How long to pay off your credit Card if you pay only the minimum PMT required?</t>
  </si>
  <si>
    <t>Balance = PV =</t>
  </si>
  <si>
    <t>Minimum Monthly PMT =</t>
  </si>
  <si>
    <t>n*x = NPER function =</t>
  </si>
  <si>
    <t>x = n*x/n =</t>
  </si>
  <si>
    <t>Perpetuity (consol) = Annuity where cash flow continues forever (Preferred Stock is considered a perpetuity)</t>
  </si>
  <si>
    <t>Quarterly Dividend = PMT =</t>
  </si>
  <si>
    <t>Quarterly Discount Rate =</t>
  </si>
  <si>
    <t>PV of Perpetuity = PMT/(i/n) =</t>
  </si>
  <si>
    <t>Interest Only Loans (Corporate Bonds):</t>
  </si>
  <si>
    <t>Borrow = PV =</t>
  </si>
  <si>
    <t xml:space="preserve">i = </t>
  </si>
  <si>
    <t>Semiannual Interest =</t>
  </si>
  <si>
    <t>Interest Paid</t>
  </si>
  <si>
    <t>Principal Paid</t>
  </si>
  <si>
    <t>Loan</t>
  </si>
  <si>
    <t>Annual rate</t>
  </si>
  <si>
    <t>Periodic Rate</t>
  </si>
  <si>
    <t>Payment periods per year</t>
  </si>
  <si>
    <t>Period PMT</t>
  </si>
  <si>
    <t>Periodic Interest Payment</t>
  </si>
  <si>
    <t>Principal Repayment</t>
  </si>
  <si>
    <t>Principal Balance</t>
  </si>
  <si>
    <t>Total Paid</t>
  </si>
  <si>
    <t>Total Interest</t>
  </si>
  <si>
    <t>PMT</t>
  </si>
  <si>
    <t>Balance</t>
  </si>
  <si>
    <t>Amount Received</t>
  </si>
  <si>
    <t>Repayment of Loan</t>
  </si>
  <si>
    <t>Implicit Periodic Interest
(Tax Advantage = Interest*Marginal Rate==&gt; Actual cash flow = Interest*(1-tax rate))</t>
  </si>
  <si>
    <t>Discount Rate =</t>
  </si>
  <si>
    <t>They say contract worth:</t>
  </si>
  <si>
    <t>PV of each Amount</t>
  </si>
  <si>
    <t>NPV function</t>
  </si>
  <si>
    <t>Cash Flow Time 0</t>
  </si>
  <si>
    <t>Cash Flow Time 1</t>
  </si>
  <si>
    <t>Cash Flow Time 2</t>
  </si>
  <si>
    <t>Cash Flow Time 3</t>
  </si>
  <si>
    <t>Key is to not include Time 0 value. From Excel Help: "Value1, value2, ... must be equally spaced in time and occur at the end of each period."</t>
  </si>
  <si>
    <t>When cash flows occur at different times, it does not make sense to say that they are worth a certain amount. Why? Because of the time value of money. The only way that you can say what a series of cash flows are worth is to either calculate the Present Value or the Future Value, so that all the cash flows are at one point in Time</t>
  </si>
  <si>
    <t>Investment will pay PMT (example: Debt instrument) in Future =</t>
  </si>
  <si>
    <t>Type =</t>
  </si>
  <si>
    <t>Return = Discount Rate =</t>
  </si>
  <si>
    <t>What is the Max that we will pay (If price is less than or equal to, we will buy) = PV =</t>
  </si>
  <si>
    <t>Principal = PV =</t>
  </si>
  <si>
    <t>n* x =</t>
  </si>
  <si>
    <t>Cost</t>
  </si>
  <si>
    <t>Down %</t>
  </si>
  <si>
    <t>Down</t>
  </si>
  <si>
    <t>Cost = PV =</t>
  </si>
  <si>
    <t>x = (n*x)/n =</t>
  </si>
  <si>
    <t>Total Payments = n*x =</t>
  </si>
  <si>
    <t>APR</t>
  </si>
  <si>
    <t>EAR</t>
  </si>
  <si>
    <t>EAR = (1 + APR/n)^n - 1</t>
  </si>
  <si>
    <t>((EAR+1)^(1/n)-1)*n</t>
  </si>
  <si>
    <t>Period Rate = i/n =</t>
  </si>
  <si>
    <t>Price = PV =</t>
  </si>
  <si>
    <t>Type = 1 or 0 =</t>
  </si>
  <si>
    <t>0 for end, 1 for begin</t>
  </si>
  <si>
    <t>APR = I =</t>
  </si>
  <si>
    <t>Total Periods = n*x =</t>
  </si>
  <si>
    <t>Start Balance = PV =</t>
  </si>
  <si>
    <t>Intro APR =</t>
  </si>
  <si>
    <t>Intro Rate Length = n =</t>
  </si>
  <si>
    <t>months</t>
  </si>
  <si>
    <t>Intro Rate i/n =</t>
  </si>
  <si>
    <t>FV after first 6 months =</t>
  </si>
  <si>
    <t>Regular Rate =</t>
  </si>
  <si>
    <t>Regular Rate Length = n =</t>
  </si>
  <si>
    <t>Regular Rate i/n =</t>
  </si>
  <si>
    <t>FV after second 6 months =</t>
  </si>
  <si>
    <t>Total Interest Paid =</t>
  </si>
  <si>
    <t>Salary Arrangement 1</t>
  </si>
  <si>
    <t>Salary Arrangement 2</t>
  </si>
  <si>
    <t>Current Cash Paid =</t>
  </si>
  <si>
    <t>n*x =</t>
  </si>
  <si>
    <t>Difference</t>
  </si>
  <si>
    <t>Select the Bigger Amount</t>
  </si>
  <si>
    <t>Because the cash flows are at different points in time, in order to compare them, we must bring all cash flows to the same point in time so that we can compare them. It does not matter whether you use PV or FV, both will lead to the same conclusion.</t>
  </si>
  <si>
    <t>estimate check:</t>
  </si>
  <si>
    <t>estimate FV check</t>
  </si>
  <si>
    <t>n*x = NPER =</t>
  </si>
  <si>
    <t>x = n*x/x =</t>
  </si>
  <si>
    <t>years</t>
  </si>
  <si>
    <t>Buy:</t>
  </si>
  <si>
    <t>New Warehouse</t>
  </si>
  <si>
    <t>Price</t>
  </si>
  <si>
    <t>Loan % =</t>
  </si>
  <si>
    <t>Loan Amount =</t>
  </si>
  <si>
    <t>check:</t>
  </si>
  <si>
    <t>i/n = RATE =</t>
  </si>
  <si>
    <t>We cannot use a math formula to check for this because the</t>
  </si>
  <si>
    <t>exponent is greater than 5. We must use trial and error, Excel, or</t>
  </si>
  <si>
    <t>a Financial calculator.</t>
  </si>
  <si>
    <t>Time Now =</t>
  </si>
  <si>
    <t>Time of First Payment =</t>
  </si>
  <si>
    <t>Time of Last Payment =</t>
  </si>
  <si>
    <t>Total Years = x for investment =</t>
  </si>
  <si>
    <t>Ordinary = end of period</t>
  </si>
  <si>
    <t>PV at time 5</t>
  </si>
  <si>
    <t>Discounting back from time 5</t>
  </si>
  <si>
    <t>PV at time zero (0)</t>
  </si>
  <si>
    <t>Time 11</t>
  </si>
  <si>
    <t>Time 12</t>
  </si>
  <si>
    <t>Time 13</t>
  </si>
  <si>
    <t>Time 14</t>
  </si>
  <si>
    <t>Time 15</t>
  </si>
  <si>
    <t>Time 16</t>
  </si>
  <si>
    <t>Time 17</t>
  </si>
  <si>
    <t>Time 18</t>
  </si>
  <si>
    <t>Time 19</t>
  </si>
  <si>
    <t>Time 20</t>
  </si>
  <si>
    <t>NPV =</t>
  </si>
  <si>
    <t>I = APR =</t>
  </si>
  <si>
    <t>Principal Reduction</t>
  </si>
  <si>
    <t>Total Interest =</t>
  </si>
  <si>
    <t>Interest Paid in Third Year =</t>
  </si>
  <si>
    <t>I/N</t>
  </si>
  <si>
    <t>N*X</t>
  </si>
  <si>
    <t>Due</t>
  </si>
  <si>
    <t xml:space="preserve">Type </t>
  </si>
  <si>
    <t>Ordinary</t>
  </si>
  <si>
    <t>Relationship: Annuity Due = Annuity Ordinary * (1 + i/n)</t>
  </si>
  <si>
    <t>0 or Blank for Ordinary Annuity, or, 1 for Annuity Due</t>
  </si>
  <si>
    <t>FV = FV(i/n,n*x,PMT)</t>
  </si>
  <si>
    <t>Ordinary = 0 or blank, Due = 1</t>
  </si>
  <si>
    <t>Type = 1 or 0 / blank=</t>
  </si>
  <si>
    <t>The shop should report EAR instead of ARP, but since the "Truth In Lending Act" requires APR, they only have to report APR.</t>
  </si>
  <si>
    <t>Discount Rate</t>
  </si>
  <si>
    <t>Discount Rate = Return you must earn on Asset</t>
  </si>
  <si>
    <t>Annual Interest Rate = Discount Rate</t>
  </si>
  <si>
    <t>Net Present Value</t>
  </si>
  <si>
    <r>
      <t xml:space="preserve">EAR = </t>
    </r>
    <r>
      <rPr>
        <b/>
        <sz val="16"/>
        <color theme="1"/>
        <rFont val="Calibri"/>
        <family val="2"/>
        <scheme val="minor"/>
      </rPr>
      <t>Effective Annual Rate</t>
    </r>
    <r>
      <rPr>
        <sz val="11"/>
        <color theme="1"/>
        <rFont val="Calibri"/>
        <family val="2"/>
        <scheme val="minor"/>
      </rPr>
      <t xml:space="preserve"> (Real Rate that has n = 1) = </t>
    </r>
    <r>
      <rPr>
        <b/>
        <sz val="16"/>
        <color indexed="8"/>
        <rFont val="Calibri"/>
        <family val="2"/>
      </rPr>
      <t>(1+i/n)^n - 1</t>
    </r>
  </si>
  <si>
    <t>Notes:
Never EAR/n. ONLY APR/n.
APR = EAR ONLY when n = 1
EAR &gt; APR when n &gt; 1.</t>
  </si>
  <si>
    <t>Test:</t>
  </si>
  <si>
    <r>
      <rPr>
        <b/>
        <sz val="11"/>
        <color theme="1"/>
        <rFont val="Calibri"/>
        <family val="2"/>
        <scheme val="minor"/>
      </rPr>
      <t>APR</t>
    </r>
    <r>
      <rPr>
        <sz val="11"/>
        <color theme="1"/>
        <rFont val="Calibri"/>
        <family val="2"/>
        <scheme val="minor"/>
      </rPr>
      <t xml:space="preserve"> = Annual Percentage Rate = i =</t>
    </r>
  </si>
  <si>
    <r>
      <rPr>
        <b/>
        <sz val="11"/>
        <color theme="1"/>
        <rFont val="Calibri"/>
        <family val="2"/>
        <scheme val="minor"/>
      </rPr>
      <t>Period Rate</t>
    </r>
    <r>
      <rPr>
        <sz val="11"/>
        <color theme="1"/>
        <rFont val="Calibri"/>
        <family val="2"/>
        <scheme val="minor"/>
      </rPr>
      <t xml:space="preserve"> = </t>
    </r>
    <r>
      <rPr>
        <sz val="11"/>
        <color indexed="8"/>
        <rFont val="Calibri"/>
        <family val="2"/>
      </rPr>
      <t>i/n</t>
    </r>
    <r>
      <rPr>
        <sz val="11"/>
        <color theme="1"/>
        <rFont val="Calibri"/>
        <family val="2"/>
        <scheme val="minor"/>
      </rPr>
      <t xml:space="preserve"> =</t>
    </r>
  </si>
  <si>
    <r>
      <rPr>
        <b/>
        <sz val="11"/>
        <color theme="1"/>
        <rFont val="Calibri"/>
        <family val="2"/>
        <scheme val="minor"/>
      </rPr>
      <t>EAR</t>
    </r>
    <r>
      <rPr>
        <sz val="11"/>
        <color theme="1"/>
        <rFont val="Calibri"/>
        <family val="2"/>
        <scheme val="minor"/>
      </rPr>
      <t xml:space="preserve"> =</t>
    </r>
  </si>
  <si>
    <t>PV (we'll leave $ in for 1 year)</t>
  </si>
  <si>
    <t>Note: Math formula not possible when n &gt; 5, must iterate to find answer (back and forth in order to "zero in on number".)</t>
  </si>
  <si>
    <t>MoneyTreeRUsLoaning will:</t>
  </si>
  <si>
    <t>Amount In</t>
  </si>
  <si>
    <t>x*n</t>
  </si>
  <si>
    <t>Period rate</t>
  </si>
  <si>
    <t>PMT means periodic payment (same amount each period)</t>
  </si>
  <si>
    <t>PMT function calculates the period payment for a loan (For the Borrower or the Lender). The Amount of each PMT must be the same and the time between each PMT must be the same.</t>
  </si>
  <si>
    <t>Cash Flow matters in Finance. Cash going out of the wallet is negative. Cash coming into the wallet is positive.</t>
  </si>
  <si>
    <t>For the borrow the PV is positive, the PMT is negative, and the FV is negative. For the Lender the PV is negative, the PMT is positive, and the FV is positive.</t>
  </si>
  <si>
    <t>Be consistent with your unit of time! If you are calculating monthly payment, you need monthly interest rate and total number of months! (The period can be monthly, quarterly, yearly or any other length).</t>
  </si>
  <si>
    <t xml:space="preserve"> =PMT(rate = period rate, nper = total number of periods, pv means amount invested or lent out today, fv means amount received after all the periods have elapsed or amount paid after all the periods have elapsed, type refers to the PMT: PMT at end of period = 0, PMT at beginning of period = 1)</t>
  </si>
  <si>
    <t xml:space="preserve"> =FV(rate = period rate, nper = total number of periods, pmt means periodic payment, pv means amount invested or lent out today, type refers to the PMT: PMT at end of period = 0, PMT at beginning of period = 1)</t>
  </si>
  <si>
    <t>Price of Car</t>
  </si>
  <si>
    <t>Down Payment</t>
  </si>
  <si>
    <t>Monthly Interest Rate</t>
  </si>
  <si>
    <t>Loan Amount</t>
  </si>
  <si>
    <t>Years for Loan</t>
  </si>
  <si>
    <t>PMT end of period</t>
  </si>
  <si>
    <t>Total Months</t>
  </si>
  <si>
    <t xml:space="preserve">Monthly Payment </t>
  </si>
  <si>
    <t>Periods per Year</t>
  </si>
  <si>
    <t>PMT begin of period</t>
  </si>
  <si>
    <t>Type, 0 = End, 1 = Beg</t>
  </si>
  <si>
    <t>Balloon Payment</t>
  </si>
  <si>
    <t>Years payment is put off</t>
  </si>
  <si>
    <t>Period Interest Rate</t>
  </si>
  <si>
    <t>FV after 1 year</t>
  </si>
  <si>
    <t xml:space="preserve">Period Payment </t>
  </si>
  <si>
    <t>Points</t>
  </si>
  <si>
    <t>Actual Cash Received</t>
  </si>
  <si>
    <t>Adjusted APR</t>
  </si>
  <si>
    <t>…</t>
  </si>
  <si>
    <t>Excel Finance Class 27: Asset Valuation Using Discounted Cash Flow Analysis and PV Function</t>
  </si>
  <si>
    <t>Time420</t>
  </si>
  <si>
    <t>Buy</t>
  </si>
  <si>
    <t>Not Buy</t>
  </si>
  <si>
    <t>Time 360</t>
  </si>
  <si>
    <t xml:space="preserve"> -PMT</t>
  </si>
  <si>
    <t xml:space="preserve"> + PV</t>
  </si>
  <si>
    <t>?</t>
  </si>
  <si>
    <t>Fees</t>
  </si>
  <si>
    <t>Adjusted APR when there are Points and Fees</t>
  </si>
  <si>
    <t>Excel Finance Class 33: Full Life Retirement Plan PV Annuity &amp; FV Annuity PV &amp; PMT Functions</t>
  </si>
  <si>
    <t>Begin Annuity - Annuity Due</t>
  </si>
  <si>
    <t>Repayment of Loan = FV</t>
  </si>
  <si>
    <t>Amount Received = PV</t>
  </si>
  <si>
    <t>Interest</t>
  </si>
  <si>
    <r>
      <t xml:space="preserve">Note: APR is also called: </t>
    </r>
    <r>
      <rPr>
        <b/>
        <sz val="12"/>
        <color indexed="8"/>
        <rFont val="Calibri"/>
        <family val="2"/>
      </rPr>
      <t>Nominal Rate</t>
    </r>
    <r>
      <rPr>
        <sz val="11"/>
        <color theme="1"/>
        <rFont val="Calibri"/>
        <family val="2"/>
        <scheme val="minor"/>
      </rPr>
      <t>, Quoted Rate, Stated Rate, Annual Interest Rate.</t>
    </r>
  </si>
  <si>
    <t>FV = PMT*((1+i/n)^(x*n)-1)/(i/n) =</t>
  </si>
  <si>
    <t>Ordinary FV factor (from Tables) = ((1+i/n)^(x*n)-1)/(i/n) =</t>
  </si>
  <si>
    <t>FV = PMT*((1+i/n)^(x*n)-1)/(i/n)*(1+i/n)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</si>
</sst>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
    <numFmt numFmtId="167" formatCode="0.0000000"/>
    <numFmt numFmtId="168" formatCode="0.0%"/>
    <numFmt numFmtId="169" formatCode="0.0000%"/>
    <numFmt numFmtId="170" formatCode="0.00000"/>
    <numFmt numFmtId="171" formatCode="0.0000"/>
    <numFmt numFmtId="172" formatCode="&quot;$&quot;#,##0,"/>
    <numFmt numFmtId="173" formatCode="d\-mmm\-yyyy"/>
    <numFmt numFmtId="174" formatCode="#\ ???/???"/>
    <numFmt numFmtId="175" formatCode="0.000000%"/>
    <numFmt numFmtId="176" formatCode="0.000000000%"/>
  </numFmts>
  <fonts count="20" x14ac:knownFonts="1">
    <font>
      <sz val="11"/>
      <color theme="1"/>
      <name val="Calibri"/>
      <family val="2"/>
      <scheme val="minor"/>
    </font>
    <font>
      <sz val="11"/>
      <color theme="0"/>
      <name val="Calibri"/>
      <family val="2"/>
      <scheme val="minor"/>
    </font>
    <font>
      <b/>
      <u/>
      <sz val="11"/>
      <color indexed="8"/>
      <name val="Calibri"/>
      <family val="2"/>
    </font>
    <font>
      <sz val="10"/>
      <name val="Arial"/>
      <family val="2"/>
    </font>
    <font>
      <sz val="11"/>
      <color indexed="9"/>
      <name val="Calibri"/>
      <family val="2"/>
    </font>
    <font>
      <b/>
      <sz val="16"/>
      <color indexed="8"/>
      <name val="Calibri"/>
      <family val="2"/>
    </font>
    <font>
      <b/>
      <sz val="12"/>
      <color indexed="8"/>
      <name val="Calibri"/>
      <family val="2"/>
    </font>
    <font>
      <sz val="11"/>
      <color indexed="8"/>
      <name val="Calibri"/>
      <family val="2"/>
    </font>
    <font>
      <vertAlign val="subscript"/>
      <sz val="11"/>
      <color indexed="8"/>
      <name val="Calibri"/>
      <family val="2"/>
    </font>
    <font>
      <sz val="11"/>
      <name val="Calibri"/>
      <family val="2"/>
    </font>
    <font>
      <sz val="10"/>
      <color indexed="9"/>
      <name val="Arial"/>
      <family val="2"/>
    </font>
    <font>
      <b/>
      <sz val="11"/>
      <color theme="1"/>
      <name val="Calibri"/>
      <family val="2"/>
      <scheme val="minor"/>
    </font>
    <font>
      <b/>
      <sz val="16"/>
      <color theme="1"/>
      <name val="Calibri"/>
      <family val="2"/>
      <scheme val="minor"/>
    </font>
    <font>
      <sz val="11"/>
      <color theme="1"/>
      <name val="Calibri"/>
      <family val="2"/>
      <scheme val="minor"/>
    </font>
    <font>
      <sz val="10"/>
      <color theme="0"/>
      <name val="Arial"/>
      <family val="2"/>
    </font>
    <font>
      <b/>
      <sz val="10"/>
      <color theme="0"/>
      <name val="Arial"/>
      <family val="2"/>
    </font>
    <font>
      <sz val="9"/>
      <name val="Arial"/>
      <family val="2"/>
    </font>
    <font>
      <sz val="12"/>
      <name val="Bookman Old Style"/>
      <family val="1"/>
    </font>
    <font>
      <b/>
      <sz val="10"/>
      <name val="Arial"/>
      <family val="2"/>
    </font>
    <font>
      <b/>
      <sz val="16"/>
      <color indexed="53"/>
      <name val="Bell MT"/>
      <family val="1"/>
    </font>
  </fonts>
  <fills count="19">
    <fill>
      <patternFill patternType="none"/>
    </fill>
    <fill>
      <patternFill patternType="gray125"/>
    </fill>
    <fill>
      <patternFill patternType="solid">
        <fgColor rgb="FFCCFFCC"/>
        <bgColor indexed="64"/>
      </patternFill>
    </fill>
    <fill>
      <patternFill patternType="solid">
        <fgColor rgb="FF002060"/>
        <bgColor indexed="64"/>
      </patternFill>
    </fill>
    <fill>
      <patternFill patternType="solid">
        <fgColor rgb="FFFFFF00"/>
        <bgColor indexed="64"/>
      </patternFill>
    </fill>
    <fill>
      <patternFill patternType="solid">
        <fgColor indexed="29"/>
        <bgColor indexed="64"/>
      </patternFill>
    </fill>
    <fill>
      <patternFill patternType="solid">
        <fgColor indexed="30"/>
        <bgColor indexed="64"/>
      </patternFill>
    </fill>
    <fill>
      <patternFill patternType="solid">
        <fgColor indexed="42"/>
        <bgColor indexed="64"/>
      </patternFill>
    </fill>
    <fill>
      <patternFill patternType="solid">
        <fgColor indexed="13"/>
        <bgColor indexed="64"/>
      </patternFill>
    </fill>
    <fill>
      <patternFill patternType="solid">
        <fgColor indexed="12"/>
        <bgColor indexed="64"/>
      </patternFill>
    </fill>
    <fill>
      <patternFill patternType="solid">
        <fgColor indexed="43"/>
        <bgColor indexed="64"/>
      </patternFill>
    </fill>
    <fill>
      <patternFill patternType="solid">
        <fgColor theme="8" tint="0.79998168889431442"/>
        <bgColor indexed="64"/>
      </patternFill>
    </fill>
    <fill>
      <patternFill patternType="solid">
        <fgColor indexed="41"/>
        <bgColor indexed="64"/>
      </patternFill>
    </fill>
    <fill>
      <patternFill patternType="solid">
        <fgColor rgb="FFFFFF99"/>
        <bgColor indexed="64"/>
      </patternFill>
    </fill>
    <fill>
      <patternFill patternType="solid">
        <fgColor rgb="FF0070C0"/>
        <bgColor indexed="64"/>
      </patternFill>
    </fill>
    <fill>
      <patternFill patternType="solid">
        <fgColor rgb="FFFF0000"/>
        <bgColor indexed="64"/>
      </patternFill>
    </fill>
    <fill>
      <patternFill patternType="solid">
        <fgColor indexed="11"/>
        <bgColor indexed="64"/>
      </patternFill>
    </fill>
    <fill>
      <patternFill patternType="solid">
        <fgColor indexed="10"/>
        <bgColor indexed="64"/>
      </patternFill>
    </fill>
    <fill>
      <patternFill patternType="solid">
        <fgColor indexed="2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ck">
        <color indexed="64"/>
      </top>
      <bottom style="thick">
        <color indexed="64"/>
      </bottom>
      <diagonal/>
    </border>
    <border>
      <left style="thick">
        <color indexed="53"/>
      </left>
      <right style="thick">
        <color indexed="53"/>
      </right>
      <top style="thick">
        <color indexed="53"/>
      </top>
      <bottom style="thick">
        <color indexed="53"/>
      </bottom>
      <diagonal/>
    </border>
    <border>
      <left/>
      <right/>
      <top style="thick">
        <color indexed="64"/>
      </top>
      <bottom/>
      <diagonal/>
    </border>
  </borders>
  <cellStyleXfs count="20">
    <xf numFmtId="0" fontId="0" fillId="0" borderId="0"/>
    <xf numFmtId="0" fontId="3" fillId="0" borderId="0"/>
    <xf numFmtId="9" fontId="7"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0" fillId="9" borderId="1">
      <alignment wrapText="1"/>
    </xf>
    <xf numFmtId="0" fontId="10" fillId="9" borderId="1">
      <alignment horizontal="centerContinuous" wrapText="1"/>
    </xf>
    <xf numFmtId="172" fontId="17" fillId="0" borderId="0"/>
    <xf numFmtId="173" fontId="18" fillId="0" borderId="0" applyFont="0" applyFill="0" applyBorder="0" applyProtection="0">
      <alignment horizontal="center"/>
    </xf>
    <xf numFmtId="174" fontId="19" fillId="16" borderId="17">
      <alignment horizontal="left" indent="2"/>
    </xf>
    <xf numFmtId="0" fontId="3" fillId="17" borderId="1">
      <alignment horizontal="centerContinuous" wrapText="1"/>
    </xf>
    <xf numFmtId="0" fontId="3" fillId="0" borderId="0">
      <alignment wrapText="1"/>
    </xf>
    <xf numFmtId="0" fontId="3" fillId="18" borderId="0" applyNumberFormat="0" applyFont="0" applyBorder="0" applyAlignment="0" applyProtection="0"/>
    <xf numFmtId="0" fontId="3" fillId="8" borderId="1">
      <alignment horizontal="centerContinuous" wrapText="1"/>
    </xf>
    <xf numFmtId="43" fontId="3" fillId="0" borderId="0" applyFont="0" applyFill="0" applyBorder="0" applyAlignment="0" applyProtection="0"/>
  </cellStyleXfs>
  <cellXfs count="198">
    <xf numFmtId="0" fontId="0" fillId="0" borderId="0" xfId="0"/>
    <xf numFmtId="0" fontId="0" fillId="0" borderId="1" xfId="0" applyBorder="1"/>
    <xf numFmtId="0" fontId="0" fillId="2" borderId="1" xfId="0" applyFill="1" applyBorder="1"/>
    <xf numFmtId="0" fontId="0" fillId="0" borderId="1" xfId="0" applyFill="1" applyBorder="1"/>
    <xf numFmtId="9" fontId="0" fillId="0" borderId="1" xfId="0" applyNumberFormat="1" applyFill="1" applyBorder="1"/>
    <xf numFmtId="0" fontId="0" fillId="0" borderId="0" xfId="0" applyBorder="1"/>
    <xf numFmtId="8" fontId="0" fillId="0" borderId="1" xfId="0" applyNumberFormat="1" applyFill="1" applyBorder="1"/>
    <xf numFmtId="8" fontId="0" fillId="0" borderId="0" xfId="0" applyNumberFormat="1"/>
    <xf numFmtId="0" fontId="0" fillId="0" borderId="1" xfId="0" applyBorder="1" applyAlignment="1">
      <alignment wrapText="1"/>
    </xf>
    <xf numFmtId="8" fontId="0" fillId="0" borderId="1" xfId="0" applyNumberFormat="1" applyBorder="1"/>
    <xf numFmtId="0" fontId="0" fillId="0" borderId="0" xfId="0" applyAlignment="1">
      <alignment wrapText="1"/>
    </xf>
    <xf numFmtId="0" fontId="1" fillId="3" borderId="1" xfId="0" applyFont="1" applyFill="1" applyBorder="1" applyAlignment="1">
      <alignment wrapText="1"/>
    </xf>
    <xf numFmtId="164" fontId="0" fillId="0" borderId="0" xfId="0" applyNumberFormat="1"/>
    <xf numFmtId="164" fontId="0" fillId="0" borderId="1" xfId="0" applyNumberFormat="1" applyBorder="1"/>
    <xf numFmtId="165" fontId="0" fillId="0" borderId="1" xfId="0" applyNumberFormat="1" applyBorder="1"/>
    <xf numFmtId="8" fontId="0" fillId="0" borderId="0" xfId="0" applyNumberFormat="1" applyFill="1" applyBorder="1"/>
    <xf numFmtId="0" fontId="0" fillId="0" borderId="0" xfId="0" applyBorder="1" applyAlignment="1">
      <alignment wrapText="1"/>
    </xf>
    <xf numFmtId="0" fontId="0" fillId="4" borderId="1" xfId="0" applyFill="1" applyBorder="1" applyAlignment="1">
      <alignment wrapText="1"/>
    </xf>
    <xf numFmtId="164" fontId="0" fillId="2" borderId="1" xfId="0" applyNumberFormat="1" applyFill="1" applyBorder="1"/>
    <xf numFmtId="4" fontId="0" fillId="0" borderId="1" xfId="0" applyNumberFormat="1" applyFill="1" applyBorder="1"/>
    <xf numFmtId="4" fontId="0" fillId="2" borderId="1" xfId="0" applyNumberFormat="1" applyFill="1" applyBorder="1"/>
    <xf numFmtId="4" fontId="0" fillId="0" borderId="1" xfId="0" applyNumberFormat="1" applyBorder="1"/>
    <xf numFmtId="4" fontId="0" fillId="0" borderId="0" xfId="0" applyNumberFormat="1"/>
    <xf numFmtId="0" fontId="0" fillId="5" borderId="1" xfId="0" applyFill="1" applyBorder="1" applyAlignment="1">
      <alignment horizontal="centerContinuous" wrapText="1"/>
    </xf>
    <xf numFmtId="0" fontId="3" fillId="5" borderId="1" xfId="1" applyFill="1" applyBorder="1" applyAlignment="1">
      <alignment horizontal="centerContinuous" wrapText="1"/>
    </xf>
    <xf numFmtId="0" fontId="4" fillId="6" borderId="1" xfId="0" applyFont="1" applyFill="1" applyBorder="1" applyAlignment="1">
      <alignment horizontal="centerContinuous" wrapText="1"/>
    </xf>
    <xf numFmtId="0" fontId="4" fillId="6" borderId="0" xfId="0" applyFont="1" applyFill="1" applyBorder="1" applyAlignment="1">
      <alignment horizontal="centerContinuous" wrapText="1"/>
    </xf>
    <xf numFmtId="0" fontId="0" fillId="0" borderId="3" xfId="0" applyBorder="1" applyAlignment="1">
      <alignment wrapText="1"/>
    </xf>
    <xf numFmtId="0" fontId="0" fillId="0" borderId="3" xfId="0" applyBorder="1"/>
    <xf numFmtId="0" fontId="0" fillId="0" borderId="1" xfId="0" applyNumberFormat="1" applyBorder="1"/>
    <xf numFmtId="8" fontId="0" fillId="7" borderId="1" xfId="0" applyNumberFormat="1" applyFill="1" applyBorder="1"/>
    <xf numFmtId="0" fontId="0" fillId="0" borderId="3" xfId="0" applyNumberFormat="1" applyBorder="1"/>
    <xf numFmtId="0" fontId="0" fillId="0" borderId="4" xfId="0" applyBorder="1"/>
    <xf numFmtId="8" fontId="0" fillId="0" borderId="5" xfId="0" applyNumberFormat="1" applyBorder="1"/>
    <xf numFmtId="0" fontId="1" fillId="3" borderId="1" xfId="0" applyFont="1" applyFill="1" applyBorder="1" applyAlignment="1">
      <alignment horizontal="centerContinuous" wrapText="1"/>
    </xf>
    <xf numFmtId="8" fontId="0" fillId="0" borderId="0" xfId="0" applyNumberFormat="1" applyBorder="1"/>
    <xf numFmtId="4" fontId="0" fillId="0" borderId="3" xfId="0" applyNumberFormat="1" applyBorder="1"/>
    <xf numFmtId="4" fontId="0" fillId="0" borderId="4" xfId="0" applyNumberFormat="1" applyBorder="1"/>
    <xf numFmtId="4" fontId="0" fillId="7" borderId="1" xfId="0" applyNumberFormat="1" applyFill="1" applyBorder="1"/>
    <xf numFmtId="4" fontId="0" fillId="2" borderId="5" xfId="0" applyNumberFormat="1" applyFill="1" applyBorder="1"/>
    <xf numFmtId="0" fontId="0" fillId="8" borderId="1" xfId="0" applyFill="1" applyBorder="1" applyAlignment="1">
      <alignment horizontal="centerContinuous" wrapText="1"/>
    </xf>
    <xf numFmtId="0" fontId="0" fillId="5" borderId="7" xfId="0" applyFill="1" applyBorder="1"/>
    <xf numFmtId="0" fontId="0" fillId="7" borderId="1" xfId="0" applyFill="1" applyBorder="1"/>
    <xf numFmtId="10" fontId="7" fillId="7" borderId="1" xfId="2" applyNumberFormat="1" applyFont="1" applyFill="1" applyBorder="1" applyAlignment="1">
      <alignment horizontal="centerContinuous" wrapText="1"/>
    </xf>
    <xf numFmtId="0" fontId="0" fillId="7" borderId="1" xfId="0" applyFill="1" applyBorder="1" applyAlignment="1">
      <alignment horizontal="centerContinuous" wrapText="1"/>
    </xf>
    <xf numFmtId="10" fontId="0" fillId="0" borderId="1" xfId="0" applyNumberFormat="1" applyBorder="1"/>
    <xf numFmtId="10" fontId="9" fillId="7" borderId="7" xfId="2" applyNumberFormat="1" applyFont="1" applyFill="1" applyBorder="1" applyAlignment="1">
      <alignment horizontal="centerContinuous" wrapText="1"/>
    </xf>
    <xf numFmtId="0" fontId="9" fillId="7" borderId="8" xfId="0" applyFont="1" applyFill="1" applyBorder="1" applyAlignment="1">
      <alignment horizontal="centerContinuous" wrapText="1"/>
    </xf>
    <xf numFmtId="0" fontId="9" fillId="7" borderId="6" xfId="0" applyFont="1" applyFill="1" applyBorder="1" applyAlignment="1">
      <alignment horizontal="centerContinuous" wrapText="1"/>
    </xf>
    <xf numFmtId="0" fontId="0" fillId="0" borderId="10" xfId="0" applyBorder="1"/>
    <xf numFmtId="2" fontId="0" fillId="7" borderId="1" xfId="0" applyNumberFormat="1" applyFill="1" applyBorder="1"/>
    <xf numFmtId="166" fontId="7" fillId="7" borderId="1" xfId="2" applyNumberFormat="1" applyFont="1" applyFill="1" applyBorder="1"/>
    <xf numFmtId="166" fontId="0" fillId="0" borderId="0" xfId="0" applyNumberFormat="1"/>
    <xf numFmtId="0" fontId="0" fillId="7" borderId="1" xfId="0" applyNumberFormat="1" applyFill="1" applyBorder="1"/>
    <xf numFmtId="0" fontId="0" fillId="5" borderId="1" xfId="0" applyFill="1" applyBorder="1"/>
    <xf numFmtId="0" fontId="0" fillId="8" borderId="6" xfId="0" applyFill="1" applyBorder="1" applyAlignment="1">
      <alignment horizontal="centerContinuous" wrapText="1"/>
    </xf>
    <xf numFmtId="0" fontId="0" fillId="0" borderId="1" xfId="0" applyFill="1" applyBorder="1" applyAlignment="1">
      <alignment wrapText="1"/>
    </xf>
    <xf numFmtId="44" fontId="7" fillId="7" borderId="1" xfId="6" applyFont="1" applyFill="1" applyBorder="1"/>
    <xf numFmtId="0" fontId="0" fillId="7" borderId="7" xfId="0" applyFill="1" applyBorder="1" applyAlignment="1">
      <alignment horizontal="centerContinuous" wrapText="1"/>
    </xf>
    <xf numFmtId="0" fontId="0" fillId="7" borderId="8" xfId="0" applyFill="1" applyBorder="1" applyAlignment="1">
      <alignment horizontal="centerContinuous" wrapText="1"/>
    </xf>
    <xf numFmtId="0" fontId="0" fillId="7" borderId="6" xfId="0" applyFill="1" applyBorder="1" applyAlignment="1">
      <alignment horizontal="centerContinuous" wrapText="1"/>
    </xf>
    <xf numFmtId="0" fontId="0" fillId="0" borderId="0" xfId="0" applyFill="1" applyBorder="1" applyAlignment="1">
      <alignment wrapText="1"/>
    </xf>
    <xf numFmtId="0" fontId="0" fillId="8" borderId="8" xfId="0" applyFill="1" applyBorder="1" applyAlignment="1">
      <alignment horizontal="centerContinuous" wrapText="1"/>
    </xf>
    <xf numFmtId="167" fontId="0" fillId="0" borderId="0" xfId="0" applyNumberFormat="1"/>
    <xf numFmtId="43" fontId="7" fillId="0" borderId="1" xfId="7" applyFont="1" applyBorder="1"/>
    <xf numFmtId="44" fontId="7" fillId="7" borderId="1" xfId="6" applyNumberFormat="1" applyFont="1" applyFill="1" applyBorder="1"/>
    <xf numFmtId="8" fontId="7" fillId="7" borderId="1" xfId="6" applyNumberFormat="1" applyFont="1" applyFill="1" applyBorder="1"/>
    <xf numFmtId="0" fontId="0" fillId="7" borderId="13" xfId="0" applyFill="1" applyBorder="1" applyAlignment="1">
      <alignment horizontal="centerContinuous" wrapText="1"/>
    </xf>
    <xf numFmtId="8" fontId="7" fillId="0" borderId="1" xfId="6" applyNumberFormat="1" applyFont="1" applyFill="1" applyBorder="1"/>
    <xf numFmtId="8" fontId="0" fillId="7" borderId="3" xfId="0" applyNumberFormat="1" applyFill="1" applyBorder="1"/>
    <xf numFmtId="0" fontId="0" fillId="0" borderId="2" xfId="0" applyFill="1" applyBorder="1"/>
    <xf numFmtId="43" fontId="7" fillId="7" borderId="1" xfId="7" applyFont="1" applyFill="1" applyBorder="1"/>
    <xf numFmtId="8" fontId="7" fillId="7" borderId="1" xfId="7" applyNumberFormat="1" applyFont="1" applyFill="1" applyBorder="1"/>
    <xf numFmtId="43" fontId="7" fillId="0" borderId="0" xfId="7" applyFont="1"/>
    <xf numFmtId="8" fontId="7" fillId="7" borderId="3" xfId="7" applyNumberFormat="1" applyFont="1" applyFill="1" applyBorder="1"/>
    <xf numFmtId="0" fontId="0" fillId="8" borderId="7" xfId="0" applyFill="1" applyBorder="1" applyAlignment="1">
      <alignment horizontal="centerContinuous" wrapText="1"/>
    </xf>
    <xf numFmtId="43" fontId="7" fillId="0" borderId="10" xfId="7" applyFont="1" applyBorder="1"/>
    <xf numFmtId="10" fontId="7" fillId="0" borderId="1" xfId="2" applyNumberFormat="1" applyFont="1" applyBorder="1"/>
    <xf numFmtId="0" fontId="0" fillId="0" borderId="9" xfId="0" applyFill="1" applyBorder="1"/>
    <xf numFmtId="168" fontId="7" fillId="0" borderId="1" xfId="2" applyNumberFormat="1" applyFont="1" applyBorder="1"/>
    <xf numFmtId="43" fontId="0" fillId="7" borderId="1" xfId="0" applyNumberFormat="1" applyFill="1" applyBorder="1"/>
    <xf numFmtId="0" fontId="0" fillId="8" borderId="1" xfId="0" applyFill="1" applyBorder="1" applyAlignment="1">
      <alignment wrapText="1"/>
    </xf>
    <xf numFmtId="0" fontId="0" fillId="8" borderId="1" xfId="0" applyFill="1" applyBorder="1"/>
    <xf numFmtId="43" fontId="0" fillId="0" borderId="1" xfId="0" applyNumberFormat="1" applyBorder="1"/>
    <xf numFmtId="0" fontId="3" fillId="0" borderId="0" xfId="1"/>
    <xf numFmtId="10" fontId="3" fillId="8" borderId="1" xfId="1" applyNumberFormat="1" applyFill="1" applyBorder="1" applyProtection="1">
      <protection locked="0"/>
    </xf>
    <xf numFmtId="0" fontId="3" fillId="0" borderId="1" xfId="1" applyBorder="1"/>
    <xf numFmtId="0" fontId="3" fillId="8" borderId="1" xfId="1" applyFill="1" applyBorder="1" applyProtection="1">
      <protection locked="0"/>
    </xf>
    <xf numFmtId="0" fontId="3" fillId="0" borderId="0" xfId="1" applyAlignment="1">
      <alignment wrapText="1"/>
    </xf>
    <xf numFmtId="0" fontId="10" fillId="9" borderId="1" xfId="1" applyFont="1" applyFill="1" applyBorder="1" applyAlignment="1" applyProtection="1">
      <alignment wrapText="1"/>
      <protection locked="0"/>
    </xf>
    <xf numFmtId="0" fontId="3" fillId="0" borderId="1" xfId="1" applyBorder="1" applyProtection="1">
      <protection locked="0"/>
    </xf>
    <xf numFmtId="43" fontId="3" fillId="0" borderId="1" xfId="1" applyNumberFormat="1" applyBorder="1"/>
    <xf numFmtId="43" fontId="3" fillId="7" borderId="1" xfId="1" applyNumberFormat="1" applyFill="1" applyBorder="1"/>
    <xf numFmtId="0" fontId="10" fillId="9" borderId="1" xfId="1" applyFont="1" applyFill="1" applyBorder="1" applyProtection="1">
      <protection locked="0"/>
    </xf>
    <xf numFmtId="164" fontId="3" fillId="7" borderId="1" xfId="1" applyNumberFormat="1" applyFill="1" applyBorder="1"/>
    <xf numFmtId="8" fontId="3" fillId="8" borderId="1" xfId="1" applyNumberFormat="1" applyFill="1" applyBorder="1" applyProtection="1">
      <protection locked="0"/>
    </xf>
    <xf numFmtId="164" fontId="3" fillId="0" borderId="0" xfId="1" applyNumberFormat="1"/>
    <xf numFmtId="164" fontId="3" fillId="0" borderId="1" xfId="1" applyNumberFormat="1" applyBorder="1"/>
    <xf numFmtId="9" fontId="3" fillId="0" borderId="0" xfId="1" applyNumberFormat="1"/>
    <xf numFmtId="164" fontId="3" fillId="10" borderId="1" xfId="1" applyNumberFormat="1" applyFont="1" applyFill="1" applyBorder="1"/>
    <xf numFmtId="164" fontId="3" fillId="0" borderId="1" xfId="1" applyNumberFormat="1" applyFont="1" applyBorder="1"/>
    <xf numFmtId="0" fontId="0" fillId="5" borderId="6" xfId="0" applyFill="1" applyBorder="1" applyAlignment="1">
      <alignment horizontal="centerContinuous" wrapText="1"/>
    </xf>
    <xf numFmtId="0" fontId="0" fillId="2" borderId="0" xfId="0" applyFill="1"/>
    <xf numFmtId="0" fontId="4" fillId="6" borderId="1" xfId="0" applyFont="1" applyFill="1" applyBorder="1"/>
    <xf numFmtId="8" fontId="9" fillId="7" borderId="1" xfId="0" applyNumberFormat="1" applyFont="1" applyFill="1" applyBorder="1"/>
    <xf numFmtId="4" fontId="9" fillId="7" borderId="1" xfId="0" applyNumberFormat="1" applyFont="1" applyFill="1" applyBorder="1"/>
    <xf numFmtId="4" fontId="9" fillId="7" borderId="3" xfId="0" applyNumberFormat="1" applyFont="1" applyFill="1" applyBorder="1"/>
    <xf numFmtId="0" fontId="0" fillId="0" borderId="4" xfId="0" applyBorder="1" applyAlignment="1"/>
    <xf numFmtId="8" fontId="9" fillId="7" borderId="4" xfId="0" applyNumberFormat="1" applyFont="1" applyFill="1" applyBorder="1" applyAlignment="1"/>
    <xf numFmtId="4" fontId="9" fillId="7" borderId="4" xfId="0" applyNumberFormat="1" applyFont="1" applyFill="1" applyBorder="1" applyAlignment="1"/>
    <xf numFmtId="10" fontId="7" fillId="7" borderId="1" xfId="2" applyNumberFormat="1" applyFont="1" applyFill="1" applyBorder="1"/>
    <xf numFmtId="169" fontId="7" fillId="0" borderId="1" xfId="2" applyNumberFormat="1" applyFont="1" applyBorder="1"/>
    <xf numFmtId="0" fontId="0" fillId="11" borderId="7" xfId="0" applyFill="1" applyBorder="1" applyAlignment="1">
      <alignment horizontal="centerContinuous" wrapText="1"/>
    </xf>
    <xf numFmtId="0" fontId="0" fillId="11" borderId="8" xfId="0" applyFill="1" applyBorder="1" applyAlignment="1">
      <alignment horizontal="centerContinuous" wrapText="1"/>
    </xf>
    <xf numFmtId="0" fontId="0" fillId="11" borderId="6" xfId="0" applyFill="1" applyBorder="1" applyAlignment="1">
      <alignment horizontal="centerContinuous" wrapText="1"/>
    </xf>
    <xf numFmtId="0" fontId="0" fillId="11" borderId="1" xfId="0" applyFill="1" applyBorder="1" applyAlignment="1">
      <alignment horizontal="centerContinuous" wrapText="1"/>
    </xf>
    <xf numFmtId="0" fontId="0" fillId="0" borderId="7" xfId="0" applyBorder="1"/>
    <xf numFmtId="0" fontId="0" fillId="0" borderId="0" xfId="0" applyNumberFormat="1"/>
    <xf numFmtId="0" fontId="0" fillId="12" borderId="1" xfId="0" applyFill="1" applyBorder="1" applyAlignment="1">
      <alignment horizontal="centerContinuous" wrapText="1"/>
    </xf>
    <xf numFmtId="167" fontId="0" fillId="7" borderId="1" xfId="0" applyNumberFormat="1" applyFill="1" applyBorder="1"/>
    <xf numFmtId="0" fontId="0" fillId="0" borderId="13" xfId="0" applyBorder="1" applyAlignment="1">
      <alignment horizontal="left"/>
    </xf>
    <xf numFmtId="0" fontId="0" fillId="0" borderId="10" xfId="0" applyBorder="1" applyAlignment="1">
      <alignment horizontal="left"/>
    </xf>
    <xf numFmtId="0" fontId="0" fillId="0" borderId="14" xfId="0" applyBorder="1" applyAlignment="1">
      <alignment horizontal="left"/>
    </xf>
    <xf numFmtId="0" fontId="0" fillId="0" borderId="15" xfId="0" applyBorder="1"/>
    <xf numFmtId="0" fontId="0" fillId="0" borderId="3" xfId="0" applyBorder="1" applyAlignment="1">
      <alignment horizontal="left"/>
    </xf>
    <xf numFmtId="0" fontId="0" fillId="0" borderId="11" xfId="0" applyBorder="1" applyAlignment="1">
      <alignment horizontal="left"/>
    </xf>
    <xf numFmtId="2" fontId="7" fillId="0" borderId="1" xfId="7" applyNumberFormat="1" applyFont="1" applyBorder="1"/>
    <xf numFmtId="0" fontId="0" fillId="0" borderId="6" xfId="0" applyBorder="1"/>
    <xf numFmtId="2" fontId="7" fillId="7" borderId="1" xfId="7" applyNumberFormat="1" applyFont="1" applyFill="1" applyBorder="1"/>
    <xf numFmtId="0" fontId="4" fillId="9" borderId="1" xfId="0" applyFont="1" applyFill="1" applyBorder="1"/>
    <xf numFmtId="4" fontId="7" fillId="0" borderId="1" xfId="7" applyNumberFormat="1" applyFont="1" applyBorder="1"/>
    <xf numFmtId="4" fontId="7" fillId="7" borderId="1" xfId="7" applyNumberFormat="1" applyFont="1" applyFill="1" applyBorder="1"/>
    <xf numFmtId="0" fontId="0" fillId="0" borderId="4" xfId="0" applyBorder="1" applyAlignment="1">
      <alignment wrapText="1"/>
    </xf>
    <xf numFmtId="4" fontId="7" fillId="0" borderId="4" xfId="7" applyNumberFormat="1" applyFont="1" applyBorder="1" applyAlignment="1">
      <alignment wrapText="1"/>
    </xf>
    <xf numFmtId="0" fontId="1" fillId="3" borderId="1" xfId="0" applyFont="1" applyFill="1" applyBorder="1"/>
    <xf numFmtId="8" fontId="0" fillId="2" borderId="1" xfId="0" applyNumberFormat="1" applyFill="1" applyBorder="1"/>
    <xf numFmtId="0" fontId="0" fillId="0" borderId="0" xfId="0" applyAlignment="1">
      <alignment horizontal="centerContinuous" wrapText="1"/>
    </xf>
    <xf numFmtId="0" fontId="0" fillId="13" borderId="1" xfId="0" applyFill="1" applyBorder="1" applyAlignment="1">
      <alignment wrapText="1"/>
    </xf>
    <xf numFmtId="0" fontId="0" fillId="13" borderId="1" xfId="0" applyFill="1" applyBorder="1" applyAlignment="1">
      <alignment horizontal="centerContinuous" wrapText="1"/>
    </xf>
    <xf numFmtId="0" fontId="1" fillId="3" borderId="0" xfId="0" applyFont="1" applyFill="1"/>
    <xf numFmtId="0" fontId="1" fillId="3" borderId="3" xfId="0" applyFont="1" applyFill="1" applyBorder="1" applyAlignment="1">
      <alignment horizontal="centerContinuous" wrapText="1"/>
    </xf>
    <xf numFmtId="0" fontId="1" fillId="3" borderId="6" xfId="0" applyFont="1" applyFill="1" applyBorder="1" applyAlignment="1">
      <alignment horizontal="centerContinuous" wrapText="1"/>
    </xf>
    <xf numFmtId="0" fontId="1" fillId="3" borderId="11" xfId="0" applyFont="1" applyFill="1" applyBorder="1" applyAlignment="1">
      <alignment horizontal="centerContinuous" wrapText="1"/>
    </xf>
    <xf numFmtId="0" fontId="1" fillId="3" borderId="12" xfId="0" applyFont="1" applyFill="1" applyBorder="1" applyAlignment="1">
      <alignment horizontal="centerContinuous" wrapText="1"/>
    </xf>
    <xf numFmtId="0" fontId="1" fillId="3" borderId="8" xfId="0" applyFont="1" applyFill="1" applyBorder="1" applyAlignment="1">
      <alignment horizontal="centerContinuous" wrapText="1"/>
    </xf>
    <xf numFmtId="171" fontId="0" fillId="0" borderId="1" xfId="0" applyNumberFormat="1" applyBorder="1"/>
    <xf numFmtId="2" fontId="0" fillId="0" borderId="1" xfId="0" applyNumberFormat="1" applyBorder="1"/>
    <xf numFmtId="170" fontId="0" fillId="7" borderId="1" xfId="0" applyNumberFormat="1" applyFill="1" applyBorder="1"/>
    <xf numFmtId="171" fontId="0" fillId="7" borderId="1" xfId="0" applyNumberFormat="1" applyFill="1" applyBorder="1"/>
    <xf numFmtId="0" fontId="3" fillId="13" borderId="1" xfId="4" applyFill="1" applyBorder="1"/>
    <xf numFmtId="0" fontId="3" fillId="13" borderId="1" xfId="4" applyFont="1" applyFill="1" applyBorder="1" applyAlignment="1">
      <alignment horizontal="centerContinuous" wrapText="1"/>
    </xf>
    <xf numFmtId="0" fontId="3" fillId="13" borderId="1" xfId="4" applyFill="1" applyBorder="1" applyAlignment="1">
      <alignment horizontal="centerContinuous" wrapText="1"/>
    </xf>
    <xf numFmtId="0" fontId="3" fillId="0" borderId="0" xfId="4"/>
    <xf numFmtId="0" fontId="14" fillId="15" borderId="1" xfId="4" applyFont="1" applyFill="1" applyBorder="1"/>
    <xf numFmtId="0" fontId="16" fillId="0" borderId="10" xfId="4" applyFont="1" applyBorder="1" applyAlignment="1">
      <alignment shrinkToFit="1"/>
    </xf>
    <xf numFmtId="4" fontId="3" fillId="0" borderId="10" xfId="4" applyNumberFormat="1" applyBorder="1"/>
    <xf numFmtId="10" fontId="3" fillId="0" borderId="10" xfId="4" applyNumberFormat="1" applyBorder="1"/>
    <xf numFmtId="0" fontId="16" fillId="0" borderId="1" xfId="4" applyFont="1" applyFill="1" applyBorder="1" applyAlignment="1">
      <alignment shrinkToFit="1"/>
    </xf>
    <xf numFmtId="4" fontId="3" fillId="0" borderId="1" xfId="4" applyNumberFormat="1" applyBorder="1"/>
    <xf numFmtId="0" fontId="16" fillId="0" borderId="1" xfId="4" applyFont="1" applyBorder="1" applyAlignment="1">
      <alignment shrinkToFit="1"/>
    </xf>
    <xf numFmtId="10" fontId="3" fillId="2" borderId="1" xfId="5" applyNumberFormat="1" applyFill="1" applyBorder="1"/>
    <xf numFmtId="4" fontId="3" fillId="2" borderId="1" xfId="4" applyNumberFormat="1" applyFill="1" applyBorder="1"/>
    <xf numFmtId="0" fontId="3" fillId="0" borderId="1" xfId="4" applyBorder="1"/>
    <xf numFmtId="0" fontId="3" fillId="2" borderId="1" xfId="4" applyNumberFormat="1" applyFill="1" applyBorder="1"/>
    <xf numFmtId="0" fontId="16" fillId="0" borderId="0" xfId="4" applyFont="1" applyFill="1" applyBorder="1" applyAlignment="1">
      <alignment shrinkToFit="1"/>
    </xf>
    <xf numFmtId="8" fontId="3" fillId="0" borderId="0" xfId="4" applyNumberFormat="1"/>
    <xf numFmtId="10" fontId="3" fillId="0" borderId="1" xfId="5" applyNumberFormat="1" applyFill="1" applyBorder="1"/>
    <xf numFmtId="4" fontId="3" fillId="0" borderId="1" xfId="4" applyNumberFormat="1" applyFill="1" applyBorder="1"/>
    <xf numFmtId="4" fontId="3" fillId="2" borderId="1" xfId="4" applyNumberFormat="1" applyFont="1" applyFill="1" applyBorder="1"/>
    <xf numFmtId="0" fontId="3" fillId="0" borderId="1" xfId="4" applyNumberFormat="1" applyFill="1" applyBorder="1"/>
    <xf numFmtId="0" fontId="3" fillId="0" borderId="1" xfId="4" applyNumberFormat="1" applyBorder="1"/>
    <xf numFmtId="0" fontId="3" fillId="0" borderId="1" xfId="4" applyBorder="1" applyAlignment="1">
      <alignment wrapText="1"/>
    </xf>
    <xf numFmtId="4" fontId="3" fillId="2" borderId="0" xfId="4" applyNumberFormat="1" applyFill="1"/>
    <xf numFmtId="0" fontId="1" fillId="3" borderId="7" xfId="0" applyFont="1" applyFill="1" applyBorder="1" applyAlignment="1">
      <alignment horizontal="centerContinuous" wrapText="1"/>
    </xf>
    <xf numFmtId="0" fontId="1" fillId="14" borderId="1" xfId="0" applyFont="1" applyFill="1" applyBorder="1"/>
    <xf numFmtId="0" fontId="15" fillId="3" borderId="16" xfId="4" applyFont="1" applyFill="1" applyBorder="1" applyAlignment="1">
      <alignment horizontal="centerContinuous" wrapText="1"/>
    </xf>
    <xf numFmtId="0" fontId="3" fillId="0" borderId="1" xfId="4" applyFill="1" applyBorder="1"/>
    <xf numFmtId="0" fontId="15" fillId="3" borderId="18" xfId="4" applyFont="1" applyFill="1" applyBorder="1" applyAlignment="1">
      <alignment horizontal="centerContinuous" wrapText="1"/>
    </xf>
    <xf numFmtId="43" fontId="3" fillId="2" borderId="1" xfId="8" applyFont="1" applyFill="1" applyBorder="1"/>
    <xf numFmtId="175" fontId="3" fillId="2" borderId="1" xfId="9" applyNumberFormat="1" applyFont="1" applyFill="1" applyBorder="1"/>
    <xf numFmtId="175" fontId="3" fillId="0" borderId="1" xfId="5" applyNumberFormat="1" applyFill="1" applyBorder="1"/>
    <xf numFmtId="175" fontId="3" fillId="0" borderId="1" xfId="4" applyNumberFormat="1" applyBorder="1"/>
    <xf numFmtId="176" fontId="0" fillId="7" borderId="1" xfId="0" applyNumberFormat="1" applyFill="1" applyBorder="1"/>
    <xf numFmtId="43" fontId="0" fillId="2" borderId="1" xfId="0" applyNumberFormat="1" applyFill="1" applyBorder="1"/>
    <xf numFmtId="0" fontId="10" fillId="3" borderId="1" xfId="1" applyFont="1" applyFill="1" applyBorder="1" applyAlignment="1">
      <alignment wrapText="1"/>
    </xf>
    <xf numFmtId="164" fontId="3" fillId="0" borderId="1" xfId="1" applyNumberFormat="1" applyFill="1" applyBorder="1" applyProtection="1">
      <protection locked="0"/>
    </xf>
    <xf numFmtId="10" fontId="3" fillId="0" borderId="1" xfId="1" applyNumberFormat="1" applyFill="1" applyBorder="1" applyProtection="1">
      <protection locked="0"/>
    </xf>
    <xf numFmtId="0" fontId="3" fillId="0" borderId="1" xfId="1" applyFill="1" applyBorder="1" applyProtection="1">
      <protection locked="0"/>
    </xf>
    <xf numFmtId="0" fontId="3" fillId="2" borderId="1" xfId="1" applyFill="1" applyBorder="1"/>
    <xf numFmtId="0" fontId="10" fillId="3" borderId="1" xfId="1" applyFont="1" applyFill="1" applyBorder="1" applyProtection="1">
      <protection locked="0"/>
    </xf>
    <xf numFmtId="8" fontId="3" fillId="0" borderId="1" xfId="1" applyNumberFormat="1" applyFill="1" applyBorder="1" applyProtection="1">
      <protection locked="0"/>
    </xf>
    <xf numFmtId="164" fontId="3" fillId="2" borderId="1" xfId="1" applyNumberFormat="1" applyFill="1" applyBorder="1"/>
    <xf numFmtId="8" fontId="3" fillId="2" borderId="1" xfId="1" applyNumberFormat="1" applyFill="1" applyBorder="1"/>
    <xf numFmtId="0" fontId="14" fillId="3" borderId="1" xfId="1" applyFont="1" applyFill="1" applyBorder="1"/>
    <xf numFmtId="0" fontId="14" fillId="3" borderId="1" xfId="1" applyFont="1" applyFill="1" applyBorder="1" applyAlignment="1">
      <alignment wrapText="1"/>
    </xf>
    <xf numFmtId="8" fontId="3" fillId="0" borderId="0" xfId="1" applyNumberFormat="1"/>
    <xf numFmtId="0" fontId="14" fillId="3" borderId="1" xfId="1" applyFont="1" applyFill="1" applyBorder="1" applyAlignment="1" applyProtection="1">
      <alignment wrapText="1"/>
      <protection locked="0"/>
    </xf>
    <xf numFmtId="4" fontId="0" fillId="2" borderId="1" xfId="8" applyNumberFormat="1" applyFont="1" applyFill="1" applyBorder="1"/>
  </cellXfs>
  <cellStyles count="20">
    <cellStyle name="blue" xfId="10"/>
    <cellStyle name="bluecenteraccrossselection" xfId="11"/>
    <cellStyle name="Comma" xfId="8" builtinId="3"/>
    <cellStyle name="Comma 2" xfId="7"/>
    <cellStyle name="Comma 3" xfId="19"/>
    <cellStyle name="Currency 2" xfId="3"/>
    <cellStyle name="Currency 3" xfId="6"/>
    <cellStyle name="Currency Round to thousands" xfId="12"/>
    <cellStyle name="Four-Digit Year" xfId="13"/>
    <cellStyle name="Normal" xfId="0" builtinId="0"/>
    <cellStyle name="Normal 2" xfId="4"/>
    <cellStyle name="Normal 3" xfId="1"/>
    <cellStyle name="Percent" xfId="9" builtinId="5"/>
    <cellStyle name="Percent 2" xfId="2"/>
    <cellStyle name="Percent 3" xfId="5"/>
    <cellStyle name="Rad" xfId="14"/>
    <cellStyle name="redcenteraccrossselection" xfId="15"/>
    <cellStyle name="Wrap Text" xfId="16"/>
    <cellStyle name="Yellow" xfId="17"/>
    <cellStyle name="yellowcenteraccrossselection" xfId="18"/>
  </cellStyles>
  <dxfs count="4">
    <dxf>
      <font>
        <color theme="0"/>
      </font>
    </dxf>
    <dxf>
      <font>
        <color theme="0"/>
      </font>
    </dxf>
    <dxf>
      <font>
        <color theme="0"/>
      </font>
    </dxf>
    <dxf>
      <font>
        <color theme="0"/>
      </font>
    </dxf>
  </dxfs>
  <tableStyles count="0" defaultTableStyle="TableStyleMedium9" defaultPivotStyle="PivotStyleLight16"/>
  <colors>
    <mruColors>
      <color rgb="FFCCFFCC"/>
      <color rgb="FFFFFF99"/>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1143000</xdr:colOff>
      <xdr:row>14</xdr:row>
      <xdr:rowOff>175846</xdr:rowOff>
    </xdr:from>
    <xdr:to>
      <xdr:col>4</xdr:col>
      <xdr:colOff>491233</xdr:colOff>
      <xdr:row>18</xdr:row>
      <xdr:rowOff>29307</xdr:rowOff>
    </xdr:to>
    <xdr:pic>
      <xdr:nvPicPr>
        <xdr:cNvPr id="2" name="Picture 1" descr="Equ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901461"/>
          <a:ext cx="3463033" cy="580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411480</xdr:colOff>
      <xdr:row>14</xdr:row>
      <xdr:rowOff>68580</xdr:rowOff>
    </xdr:from>
    <xdr:to>
      <xdr:col>6</xdr:col>
      <xdr:colOff>467524</xdr:colOff>
      <xdr:row>19</xdr:row>
      <xdr:rowOff>15240</xdr:rowOff>
    </xdr:to>
    <xdr:pic>
      <xdr:nvPicPr>
        <xdr:cNvPr id="2" name="Picture 1" descr="Equ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628900"/>
          <a:ext cx="5138584"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420416</xdr:colOff>
      <xdr:row>3</xdr:row>
      <xdr:rowOff>94593</xdr:rowOff>
    </xdr:from>
    <xdr:ext cx="2580194" cy="2501462"/>
    <mc:AlternateContent xmlns:mc="http://schemas.openxmlformats.org/markup-compatibility/2006" xmlns:a14="http://schemas.microsoft.com/office/drawing/2010/main">
      <mc:Choice Requires="a14">
        <xdr:sp macro="" textlink="">
          <xdr:nvSpPr>
            <xdr:cNvPr id="2" name="TextBox 1"/>
            <xdr:cNvSpPr txBox="1"/>
          </xdr:nvSpPr>
          <xdr:spPr>
            <a:xfrm>
              <a:off x="2963919" y="1192924"/>
              <a:ext cx="2580194" cy="250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t>i = APR</a:t>
              </a:r>
            </a:p>
            <a:p>
              <a:endParaRPr lang="en-US" sz="1100" b="0" i="1">
                <a:latin typeface="Cambria Math"/>
              </a:endParaRPr>
            </a:p>
            <a:p>
              <a14:m>
                <m:oMath xmlns:m="http://schemas.openxmlformats.org/officeDocument/2006/math">
                  <m:r>
                    <a:rPr lang="en-US" sz="1100" b="0" i="1">
                      <a:latin typeface="Cambria Math"/>
                    </a:rPr>
                    <m:t>𝐸𝐴𝑅</m:t>
                  </m:r>
                  <m:r>
                    <a:rPr lang="en-US" sz="1100" b="0" i="1">
                      <a:latin typeface="Cambria Math"/>
                    </a:rPr>
                    <m:t>=</m:t>
                  </m:r>
                </m:oMath>
              </a14:m>
              <a:r>
                <a:rPr lang="en-US" sz="1100"/>
                <a:t> </a:t>
              </a:r>
              <a14:m>
                <m:oMath xmlns:m="http://schemas.openxmlformats.org/officeDocument/2006/math">
                  <m:sSup>
                    <m:sSupPr>
                      <m:ctrlPr>
                        <a:rPr lang="en-US" sz="1100" i="1">
                          <a:latin typeface="Cambria Math"/>
                        </a:rPr>
                      </m:ctrlPr>
                    </m:sSupPr>
                    <m:e>
                      <m:r>
                        <a:rPr lang="en-US" sz="1100" b="0" i="1">
                          <a:solidFill>
                            <a:schemeClr val="tx1"/>
                          </a:solidFill>
                          <a:effectLst/>
                          <a:latin typeface="Cambria Math"/>
                          <a:ea typeface="+mn-ea"/>
                          <a:cs typeface="+mn-cs"/>
                        </a:rPr>
                        <m:t>(1+</m:t>
                      </m:r>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𝑖</m:t>
                          </m:r>
                        </m:num>
                        <m:den>
                          <m:r>
                            <a:rPr lang="en-US" sz="1100" b="0" i="1">
                              <a:solidFill>
                                <a:schemeClr val="tx1"/>
                              </a:solidFill>
                              <a:effectLst/>
                              <a:latin typeface="Cambria Math"/>
                              <a:ea typeface="+mn-ea"/>
                              <a:cs typeface="+mn-cs"/>
                            </a:rPr>
                            <m:t>𝑛</m:t>
                          </m:r>
                        </m:den>
                      </m:f>
                      <m:r>
                        <m:rPr>
                          <m:nor/>
                        </m:rPr>
                        <a:rPr lang="en-US" sz="1100">
                          <a:solidFill>
                            <a:schemeClr val="tx1"/>
                          </a:solidFill>
                          <a:effectLst/>
                          <a:latin typeface="+mn-lt"/>
                          <a:ea typeface="+mn-ea"/>
                          <a:cs typeface="+mn-cs"/>
                        </a:rPr>
                        <m:t> )</m:t>
                      </m:r>
                    </m:e>
                    <m:sup>
                      <m:r>
                        <a:rPr lang="en-US" sz="1100" b="0" i="1">
                          <a:latin typeface="Cambria Math"/>
                        </a:rPr>
                        <m:t>𝑛</m:t>
                      </m:r>
                    </m:sup>
                  </m:sSup>
                </m:oMath>
              </a14:m>
              <a:r>
                <a:rPr lang="en-US" sz="1100"/>
                <a:t>-1</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100" b="0" i="1">
                      <a:solidFill>
                        <a:schemeClr val="tx1"/>
                      </a:solidFill>
                      <a:effectLst/>
                      <a:latin typeface="Cambria Math"/>
                      <a:ea typeface="+mn-ea"/>
                      <a:cs typeface="+mn-cs"/>
                    </a:rPr>
                    <m:t>𝐸𝐴𝑅</m:t>
                  </m:r>
                  <m:r>
                    <a:rPr lang="en-US" sz="1100" b="0" i="1">
                      <a:solidFill>
                        <a:schemeClr val="tx1"/>
                      </a:solidFill>
                      <a:effectLst/>
                      <a:latin typeface="Cambria Math"/>
                      <a:ea typeface="+mn-ea"/>
                      <a:cs typeface="+mn-cs"/>
                    </a:rPr>
                    <m:t>+1=</m:t>
                  </m:r>
                </m:oMath>
              </a14:m>
              <a:r>
                <a:rPr lang="en-US" sz="1100">
                  <a:solidFill>
                    <a:schemeClr val="tx1"/>
                  </a:solidFill>
                  <a:effectLst/>
                  <a:latin typeface="+mn-lt"/>
                  <a:ea typeface="+mn-ea"/>
                  <a:cs typeface="+mn-cs"/>
                </a:rPr>
                <a:t> </a:t>
              </a:r>
              <a14:m>
                <m:oMath xmlns:m="http://schemas.openxmlformats.org/officeDocument/2006/math">
                  <m:sSup>
                    <m:sSupPr>
                      <m:ctrlPr>
                        <a:rPr lang="en-US" sz="1100" i="1">
                          <a:solidFill>
                            <a:schemeClr val="tx1"/>
                          </a:solidFill>
                          <a:effectLst/>
                          <a:latin typeface="Cambria Math"/>
                          <a:ea typeface="+mn-ea"/>
                          <a:cs typeface="+mn-cs"/>
                        </a:rPr>
                      </m:ctrlPr>
                    </m:sSupPr>
                    <m:e>
                      <m:r>
                        <a:rPr lang="en-US" sz="1100" b="0" i="1">
                          <a:solidFill>
                            <a:schemeClr val="tx1"/>
                          </a:solidFill>
                          <a:effectLst/>
                          <a:latin typeface="Cambria Math"/>
                          <a:ea typeface="+mn-ea"/>
                          <a:cs typeface="+mn-cs"/>
                        </a:rPr>
                        <m:t>(1+</m:t>
                      </m:r>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𝑖</m:t>
                          </m:r>
                        </m:num>
                        <m:den>
                          <m:r>
                            <a:rPr lang="en-US" sz="1100" b="0" i="1">
                              <a:solidFill>
                                <a:schemeClr val="tx1"/>
                              </a:solidFill>
                              <a:effectLst/>
                              <a:latin typeface="Cambria Math"/>
                              <a:ea typeface="+mn-ea"/>
                              <a:cs typeface="+mn-cs"/>
                            </a:rPr>
                            <m:t>𝑛</m:t>
                          </m:r>
                        </m:den>
                      </m:f>
                      <m:r>
                        <m:rPr>
                          <m:nor/>
                        </m:rPr>
                        <a:rPr lang="en-US" sz="1100" i="1">
                          <a:solidFill>
                            <a:schemeClr val="tx1"/>
                          </a:solidFill>
                          <a:effectLst/>
                          <a:latin typeface="+mn-lt"/>
                          <a:ea typeface="+mn-ea"/>
                          <a:cs typeface="+mn-cs"/>
                        </a:rPr>
                        <m:t> </m:t>
                      </m:r>
                      <m:r>
                        <m:rPr>
                          <m:nor/>
                        </m:rPr>
                        <a:rPr lang="en-US" sz="1100">
                          <a:solidFill>
                            <a:schemeClr val="tx1"/>
                          </a:solidFill>
                          <a:effectLst/>
                          <a:latin typeface="+mn-lt"/>
                          <a:ea typeface="+mn-ea"/>
                          <a:cs typeface="+mn-cs"/>
                        </a:rPr>
                        <m:t>)</m:t>
                      </m:r>
                    </m:e>
                    <m:sup>
                      <m:r>
                        <a:rPr lang="en-US" sz="1100" b="0" i="1">
                          <a:solidFill>
                            <a:schemeClr val="tx1"/>
                          </a:solidFill>
                          <a:effectLst/>
                          <a:latin typeface="Cambria Math"/>
                          <a:ea typeface="+mn-ea"/>
                          <a:cs typeface="+mn-cs"/>
                        </a:rPr>
                        <m:t>𝑛</m:t>
                      </m:r>
                    </m:sup>
                  </m:sSup>
                </m:oMath>
              </a14:m>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n-US" sz="1100" b="0" i="1">
                          <a:solidFill>
                            <a:schemeClr val="tx1"/>
                          </a:solidFill>
                          <a:effectLst/>
                          <a:latin typeface="Cambria Math"/>
                          <a:ea typeface="+mn-ea"/>
                          <a:cs typeface="+mn-cs"/>
                        </a:rPr>
                      </m:ctrlPr>
                    </m:sSupPr>
                    <m:e>
                      <m:r>
                        <m:rPr>
                          <m:nor/>
                        </m:rPr>
                        <a:rPr lang="en-US" sz="1100" b="0">
                          <a:solidFill>
                            <a:schemeClr val="tx1"/>
                          </a:solidFill>
                          <a:effectLst/>
                          <a:latin typeface="+mn-lt"/>
                          <a:ea typeface="+mn-ea"/>
                          <a:cs typeface="+mn-cs"/>
                        </a:rPr>
                        <m:t>(</m:t>
                      </m:r>
                      <m:r>
                        <a:rPr lang="en-US" sz="1100" b="0" i="1">
                          <a:solidFill>
                            <a:schemeClr val="tx1"/>
                          </a:solidFill>
                          <a:effectLst/>
                          <a:latin typeface="Cambria Math"/>
                          <a:ea typeface="+mn-ea"/>
                          <a:cs typeface="+mn-cs"/>
                        </a:rPr>
                        <m:t>𝐸𝐴𝑅</m:t>
                      </m:r>
                      <m:r>
                        <a:rPr lang="en-US" sz="1100" b="0" i="1">
                          <a:solidFill>
                            <a:schemeClr val="tx1"/>
                          </a:solidFill>
                          <a:effectLst/>
                          <a:latin typeface="Cambria Math"/>
                          <a:ea typeface="+mn-ea"/>
                          <a:cs typeface="+mn-cs"/>
                        </a:rPr>
                        <m:t>+1)</m:t>
                      </m:r>
                    </m:e>
                    <m:sup>
                      <m:r>
                        <a:rPr lang="en-US" sz="1100" b="0" i="1">
                          <a:solidFill>
                            <a:schemeClr val="tx1"/>
                          </a:solidFill>
                          <a:effectLst/>
                          <a:latin typeface="Cambria Math"/>
                          <a:ea typeface="+mn-ea"/>
                          <a:cs typeface="+mn-cs"/>
                        </a:rPr>
                        <m:t>1/</m:t>
                      </m:r>
                      <m:r>
                        <a:rPr lang="en-US" sz="1100" b="0" i="1">
                          <a:solidFill>
                            <a:schemeClr val="tx1"/>
                          </a:solidFill>
                          <a:effectLst/>
                          <a:latin typeface="Cambria Math"/>
                          <a:ea typeface="+mn-ea"/>
                          <a:cs typeface="+mn-cs"/>
                        </a:rPr>
                        <m:t>𝑛</m:t>
                      </m:r>
                    </m:sup>
                  </m:sSup>
                  <m:r>
                    <a:rPr lang="en-US" sz="1100" b="0" i="1">
                      <a:solidFill>
                        <a:schemeClr val="tx1"/>
                      </a:solidFill>
                      <a:effectLst/>
                      <a:latin typeface="Cambria Math"/>
                      <a:ea typeface="+mn-ea"/>
                      <a:cs typeface="+mn-cs"/>
                    </a:rPr>
                    <m:t>=</m:t>
                  </m:r>
                </m:oMath>
              </a14:m>
              <a:r>
                <a:rPr lang="en-US" sz="1100">
                  <a:solidFill>
                    <a:schemeClr val="tx1"/>
                  </a:solidFill>
                  <a:effectLst/>
                  <a:latin typeface="+mn-lt"/>
                  <a:ea typeface="+mn-ea"/>
                  <a:cs typeface="+mn-cs"/>
                </a:rPr>
                <a:t> (1</a:t>
              </a:r>
              <a:r>
                <a:rPr lang="en-US" sz="1100" baseline="0">
                  <a:solidFill>
                    <a:schemeClr val="tx1"/>
                  </a:solidFill>
                  <a:effectLst/>
                  <a:latin typeface="+mn-lt"/>
                  <a:ea typeface="+mn-ea"/>
                  <a:cs typeface="+mn-cs"/>
                </a:rPr>
                <a:t> </a:t>
              </a:r>
              <a14:m>
                <m:oMath xmlns:m="http://schemas.openxmlformats.org/officeDocument/2006/math">
                  <m:r>
                    <a:rPr lang="en-US" sz="1100" b="0" i="1">
                      <a:solidFill>
                        <a:schemeClr val="tx1"/>
                      </a:solidFill>
                      <a:effectLst/>
                      <a:latin typeface="Cambria Math"/>
                      <a:ea typeface="+mn-ea"/>
                      <a:cs typeface="+mn-cs"/>
                    </a:rPr>
                    <m:t>+</m:t>
                  </m:r>
                </m:oMath>
              </a14:m>
              <a:r>
                <a:rPr lang="en-US" sz="1100" baseline="0">
                  <a:solidFill>
                    <a:schemeClr val="tx1"/>
                  </a:solidFill>
                  <a:effectLst/>
                  <a:latin typeface="+mn-lt"/>
                  <a:ea typeface="+mn-ea"/>
                  <a:cs typeface="+mn-cs"/>
                </a:rPr>
                <a:t> </a:t>
              </a:r>
              <a14:m>
                <m:oMath xmlns:m="http://schemas.openxmlformats.org/officeDocument/2006/math">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𝑖</m:t>
                      </m:r>
                    </m:num>
                    <m:den>
                      <m:r>
                        <a:rPr lang="en-US" sz="1100" b="0" i="1">
                          <a:solidFill>
                            <a:schemeClr val="tx1"/>
                          </a:solidFill>
                          <a:effectLst/>
                          <a:latin typeface="Cambria Math"/>
                          <a:ea typeface="+mn-ea"/>
                          <a:cs typeface="+mn-cs"/>
                        </a:rPr>
                        <m:t>𝑛</m:t>
                      </m:r>
                    </m:den>
                  </m:f>
                  <m:r>
                    <m:rPr>
                      <m:nor/>
                    </m:rPr>
                    <a:rPr lang="en-US" sz="1100" i="1">
                      <a:solidFill>
                        <a:schemeClr val="tx1"/>
                      </a:solidFill>
                      <a:effectLst/>
                      <a:latin typeface="+mn-lt"/>
                      <a:ea typeface="+mn-ea"/>
                      <a:cs typeface="+mn-cs"/>
                    </a:rPr>
                    <m:t> </m:t>
                  </m:r>
                </m:oMath>
              </a14:m>
              <a:r>
                <a:rPr lang="en-US"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n-US" sz="1100" b="0" i="1">
                          <a:solidFill>
                            <a:schemeClr val="tx1"/>
                          </a:solidFill>
                          <a:effectLst/>
                          <a:latin typeface="Cambria Math"/>
                          <a:ea typeface="+mn-ea"/>
                          <a:cs typeface="+mn-cs"/>
                        </a:rPr>
                      </m:ctrlPr>
                    </m:sSupPr>
                    <m:e>
                      <m:r>
                        <m:rPr>
                          <m:nor/>
                        </m:rPr>
                        <a:rPr lang="en-US" sz="1100" b="0">
                          <a:solidFill>
                            <a:schemeClr val="tx1"/>
                          </a:solidFill>
                          <a:effectLst/>
                          <a:latin typeface="+mn-lt"/>
                          <a:ea typeface="+mn-ea"/>
                          <a:cs typeface="+mn-cs"/>
                        </a:rPr>
                        <m:t>(</m:t>
                      </m:r>
                      <m:r>
                        <a:rPr lang="en-US" sz="1100" b="0" i="1">
                          <a:solidFill>
                            <a:schemeClr val="tx1"/>
                          </a:solidFill>
                          <a:effectLst/>
                          <a:latin typeface="Cambria Math"/>
                          <a:ea typeface="+mn-ea"/>
                          <a:cs typeface="+mn-cs"/>
                        </a:rPr>
                        <m:t>𝐸𝐴𝑅</m:t>
                      </m:r>
                      <m:r>
                        <a:rPr lang="en-US" sz="1100" b="0" i="1">
                          <a:solidFill>
                            <a:schemeClr val="tx1"/>
                          </a:solidFill>
                          <a:effectLst/>
                          <a:latin typeface="Cambria Math"/>
                          <a:ea typeface="+mn-ea"/>
                          <a:cs typeface="+mn-cs"/>
                        </a:rPr>
                        <m:t>+1)</m:t>
                      </m:r>
                    </m:e>
                    <m:sup>
                      <m:r>
                        <a:rPr lang="en-US" sz="1100" b="0" i="1">
                          <a:solidFill>
                            <a:schemeClr val="tx1"/>
                          </a:solidFill>
                          <a:effectLst/>
                          <a:latin typeface="Cambria Math"/>
                          <a:ea typeface="+mn-ea"/>
                          <a:cs typeface="+mn-cs"/>
                        </a:rPr>
                        <m:t>1/</m:t>
                      </m:r>
                      <m:r>
                        <a:rPr lang="en-US" sz="1100" b="0" i="1">
                          <a:solidFill>
                            <a:schemeClr val="tx1"/>
                          </a:solidFill>
                          <a:effectLst/>
                          <a:latin typeface="Cambria Math"/>
                          <a:ea typeface="+mn-ea"/>
                          <a:cs typeface="+mn-cs"/>
                        </a:rPr>
                        <m:t>𝑛</m:t>
                      </m:r>
                    </m:sup>
                  </m:sSup>
                  <m:r>
                    <a:rPr lang="en-US" sz="1100" b="0" i="1">
                      <a:solidFill>
                        <a:schemeClr val="tx1"/>
                      </a:solidFill>
                      <a:effectLst/>
                      <a:latin typeface="Cambria Math"/>
                      <a:ea typeface="+mn-ea"/>
                      <a:cs typeface="+mn-cs"/>
                    </a:rPr>
                    <m:t> −1=</m:t>
                  </m:r>
                </m:oMath>
              </a14:m>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14:m>
                <m:oMath xmlns:m="http://schemas.openxmlformats.org/officeDocument/2006/math">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𝑖</m:t>
                      </m:r>
                    </m:num>
                    <m:den>
                      <m:r>
                        <a:rPr lang="en-US" sz="1100" b="0" i="1">
                          <a:solidFill>
                            <a:schemeClr val="tx1"/>
                          </a:solidFill>
                          <a:effectLst/>
                          <a:latin typeface="Cambria Math"/>
                          <a:ea typeface="+mn-ea"/>
                          <a:cs typeface="+mn-cs"/>
                        </a:rPr>
                        <m:t>𝑛</m:t>
                      </m:r>
                    </m:den>
                  </m:f>
                  <m:r>
                    <m:rPr>
                      <m:nor/>
                    </m:rPr>
                    <a:rPr lang="en-US" sz="1100" i="1">
                      <a:solidFill>
                        <a:schemeClr val="tx1"/>
                      </a:solidFill>
                      <a:effectLst/>
                      <a:latin typeface="+mn-lt"/>
                      <a:ea typeface="+mn-ea"/>
                      <a:cs typeface="+mn-cs"/>
                    </a:rPr>
                    <m:t> </m:t>
                  </m:r>
                </m:oMath>
              </a14:m>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a:t>
              </a:r>
              <a14:m>
                <m:oMath xmlns:m="http://schemas.openxmlformats.org/officeDocument/2006/math">
                  <m:sSup>
                    <m:sSupPr>
                      <m:ctrlPr>
                        <a:rPr lang="en-US" sz="1100" b="0" i="1">
                          <a:solidFill>
                            <a:schemeClr val="tx1"/>
                          </a:solidFill>
                          <a:effectLst/>
                          <a:latin typeface="Cambria Math"/>
                          <a:ea typeface="+mn-ea"/>
                          <a:cs typeface="+mn-cs"/>
                        </a:rPr>
                      </m:ctrlPr>
                    </m:sSupPr>
                    <m:e>
                      <m:r>
                        <m:rPr>
                          <m:nor/>
                        </m:rPr>
                        <a:rPr lang="en-US" sz="1100" b="0">
                          <a:solidFill>
                            <a:schemeClr val="tx1"/>
                          </a:solidFill>
                          <a:effectLst/>
                          <a:latin typeface="+mn-lt"/>
                          <a:ea typeface="+mn-ea"/>
                          <a:cs typeface="+mn-cs"/>
                        </a:rPr>
                        <m:t>(</m:t>
                      </m:r>
                      <m:r>
                        <a:rPr lang="en-US" sz="1100" b="0" i="1">
                          <a:solidFill>
                            <a:schemeClr val="tx1"/>
                          </a:solidFill>
                          <a:effectLst/>
                          <a:latin typeface="Cambria Math"/>
                          <a:ea typeface="+mn-ea"/>
                          <a:cs typeface="+mn-cs"/>
                        </a:rPr>
                        <m:t>𝐸𝐴𝑅</m:t>
                      </m:r>
                      <m:r>
                        <a:rPr lang="en-US" sz="1100" b="0" i="1">
                          <a:solidFill>
                            <a:schemeClr val="tx1"/>
                          </a:solidFill>
                          <a:effectLst/>
                          <a:latin typeface="Cambria Math"/>
                          <a:ea typeface="+mn-ea"/>
                          <a:cs typeface="+mn-cs"/>
                        </a:rPr>
                        <m:t>+1)</m:t>
                      </m:r>
                    </m:e>
                    <m:sup>
                      <m:r>
                        <a:rPr lang="en-US" sz="1100" b="0" i="1">
                          <a:solidFill>
                            <a:schemeClr val="tx1"/>
                          </a:solidFill>
                          <a:effectLst/>
                          <a:latin typeface="Cambria Math"/>
                          <a:ea typeface="+mn-ea"/>
                          <a:cs typeface="+mn-cs"/>
                        </a:rPr>
                        <m:t>1/</m:t>
                      </m:r>
                      <m:r>
                        <a:rPr lang="en-US" sz="1100" b="0" i="1">
                          <a:solidFill>
                            <a:schemeClr val="tx1"/>
                          </a:solidFill>
                          <a:effectLst/>
                          <a:latin typeface="Cambria Math"/>
                          <a:ea typeface="+mn-ea"/>
                          <a:cs typeface="+mn-cs"/>
                        </a:rPr>
                        <m:t>𝑛</m:t>
                      </m:r>
                    </m:sup>
                  </m:sSup>
                  <m:r>
                    <a:rPr lang="en-US" sz="1100" b="0" i="1">
                      <a:solidFill>
                        <a:schemeClr val="tx1"/>
                      </a:solidFill>
                      <a:effectLst/>
                      <a:latin typeface="Cambria Math"/>
                      <a:ea typeface="+mn-ea"/>
                      <a:cs typeface="+mn-cs"/>
                    </a:rPr>
                    <m:t> −1)∗</m:t>
                  </m:r>
                  <m:r>
                    <a:rPr lang="en-US" sz="1100" b="0" i="1">
                      <a:solidFill>
                        <a:schemeClr val="tx1"/>
                      </a:solidFill>
                      <a:effectLst/>
                      <a:latin typeface="Cambria Math"/>
                      <a:ea typeface="+mn-ea"/>
                      <a:cs typeface="+mn-cs"/>
                    </a:rPr>
                    <m:t>𝑛</m:t>
                  </m:r>
                  <m:r>
                    <a:rPr lang="en-US" sz="1100" b="0" i="1">
                      <a:solidFill>
                        <a:schemeClr val="tx1"/>
                      </a:solidFill>
                      <a:effectLst/>
                      <a:latin typeface="Cambria Math"/>
                      <a:ea typeface="+mn-ea"/>
                      <a:cs typeface="+mn-cs"/>
                    </a:rPr>
                    <m:t>=</m:t>
                  </m:r>
                </m:oMath>
              </a14:m>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14:m>
                <m:oMath xmlns:m="http://schemas.openxmlformats.org/officeDocument/2006/math">
                  <m:r>
                    <a:rPr lang="en-US" sz="1100" b="0" i="1">
                      <a:solidFill>
                        <a:schemeClr val="tx1"/>
                      </a:solidFill>
                      <a:effectLst/>
                      <a:latin typeface="Cambria Math"/>
                      <a:ea typeface="+mn-ea"/>
                      <a:cs typeface="+mn-cs"/>
                    </a:rPr>
                    <m:t>𝑖</m:t>
                  </m:r>
                  <m:r>
                    <m:rPr>
                      <m:nor/>
                    </m:rPr>
                    <a:rPr lang="en-US" sz="1100" i="1">
                      <a:solidFill>
                        <a:schemeClr val="tx1"/>
                      </a:solidFill>
                      <a:effectLst/>
                      <a:latin typeface="+mn-lt"/>
                      <a:ea typeface="+mn-ea"/>
                      <a:cs typeface="+mn-cs"/>
                    </a:rPr>
                    <m:t> </m:t>
                  </m:r>
                </m:oMath>
              </a14:m>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mc:Choice>
      <mc:Fallback xmlns="">
        <xdr:sp macro="" textlink="">
          <xdr:nvSpPr>
            <xdr:cNvPr id="2" name="TextBox 1"/>
            <xdr:cNvSpPr txBox="1"/>
          </xdr:nvSpPr>
          <xdr:spPr>
            <a:xfrm>
              <a:off x="2963919" y="1192924"/>
              <a:ext cx="2580194" cy="250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t>i = APR</a:t>
              </a:r>
            </a:p>
            <a:p>
              <a:endParaRPr lang="en-US" sz="1100" b="0" i="1">
                <a:latin typeface="Cambria Math"/>
              </a:endParaRPr>
            </a:p>
            <a:p>
              <a:r>
                <a:rPr lang="en-US" sz="1100" b="0" i="0">
                  <a:latin typeface="Cambria Math"/>
                </a:rPr>
                <a:t>𝐸𝐴𝑅=</a:t>
              </a:r>
              <a:r>
                <a:rPr lang="en-US" sz="1100"/>
                <a:t> </a:t>
              </a:r>
              <a:r>
                <a:rPr lang="en-US" sz="1100" i="0">
                  <a:latin typeface="Cambria Math"/>
                </a:rPr>
                <a:t>〖</a:t>
              </a:r>
              <a:r>
                <a:rPr lang="en-US" sz="1100" b="0" i="0">
                  <a:solidFill>
                    <a:schemeClr val="tx1"/>
                  </a:solidFill>
                  <a:effectLst/>
                  <a:latin typeface="+mn-lt"/>
                  <a:ea typeface="+mn-ea"/>
                  <a:cs typeface="+mn-cs"/>
                </a:rPr>
                <a:t>(1+𝑖/𝑛 "</a:t>
              </a:r>
              <a:r>
                <a:rPr lang="en-US" sz="1100" i="0">
                  <a:solidFill>
                    <a:schemeClr val="tx1"/>
                  </a:solidFill>
                  <a:effectLst/>
                  <a:latin typeface="+mn-lt"/>
                  <a:ea typeface="+mn-ea"/>
                  <a:cs typeface="+mn-cs"/>
                </a:rPr>
                <a:t> )</a:t>
              </a:r>
              <a:r>
                <a:rPr lang="en-US" sz="1100" i="0">
                  <a:solidFill>
                    <a:schemeClr val="tx1"/>
                  </a:solidFill>
                  <a:effectLst/>
                  <a:latin typeface="Cambria Math"/>
                  <a:ea typeface="+mn-ea"/>
                  <a:cs typeface="+mn-cs"/>
                </a:rPr>
                <a:t>" 〗^</a:t>
              </a:r>
              <a:r>
                <a:rPr lang="en-US" sz="1100" b="0" i="0">
                  <a:latin typeface="Cambria Math"/>
                </a:rPr>
                <a:t>𝑛</a:t>
              </a:r>
              <a:r>
                <a:rPr lang="en-US" sz="1100"/>
                <a:t>-1</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𝐸𝐴𝑅</a:t>
              </a:r>
              <a:r>
                <a:rPr lang="en-US" sz="1100" b="0" i="0">
                  <a:solidFill>
                    <a:schemeClr val="tx1"/>
                  </a:solidFill>
                  <a:effectLst/>
                  <a:latin typeface="Cambria Math"/>
                  <a:ea typeface="+mn-ea"/>
                  <a:cs typeface="+mn-cs"/>
                </a:rPr>
                <a:t>+1</a:t>
              </a:r>
              <a:r>
                <a:rPr lang="en-US" sz="1100" b="0" i="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i="0">
                  <a:solidFill>
                    <a:schemeClr val="tx1"/>
                  </a:solidFill>
                  <a:effectLst/>
                  <a:latin typeface="+mn-lt"/>
                  <a:ea typeface="+mn-ea"/>
                  <a:cs typeface="+mn-cs"/>
                </a:rPr>
                <a:t>〖</a:t>
              </a:r>
              <a:r>
                <a:rPr lang="en-US" sz="1100" b="0" i="0">
                  <a:solidFill>
                    <a:schemeClr val="tx1"/>
                  </a:solidFill>
                  <a:effectLst/>
                  <a:latin typeface="+mn-lt"/>
                  <a:ea typeface="+mn-ea"/>
                  <a:cs typeface="+mn-cs"/>
                </a:rPr>
                <a:t>(1+𝑖/𝑛 "</a:t>
              </a:r>
              <a:r>
                <a:rPr lang="en-US" sz="1100" i="0">
                  <a:solidFill>
                    <a:schemeClr val="tx1"/>
                  </a:solidFill>
                  <a:effectLst/>
                  <a:latin typeface="+mn-lt"/>
                  <a:ea typeface="+mn-ea"/>
                  <a:cs typeface="+mn-cs"/>
                </a:rPr>
                <a:t> )" 〗^</a:t>
              </a:r>
              <a:r>
                <a:rPr lang="en-US" sz="1100" b="0" i="0">
                  <a:solidFill>
                    <a:schemeClr val="tx1"/>
                  </a:solidFill>
                  <a:effectLst/>
                  <a:latin typeface="+mn-lt"/>
                  <a:ea typeface="+mn-ea"/>
                  <a:cs typeface="+mn-cs"/>
                </a:rPr>
                <a:t>𝑛</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a:ea typeface="+mn-ea"/>
                  <a:cs typeface="+mn-cs"/>
                </a:rPr>
                <a:t>〖</a:t>
              </a:r>
              <a:r>
                <a:rPr lang="en-US" sz="1100" b="0" i="0">
                  <a:solidFill>
                    <a:schemeClr val="tx1"/>
                  </a:solidFill>
                  <a:effectLst/>
                  <a:latin typeface="+mn-lt"/>
                  <a:ea typeface="+mn-ea"/>
                  <a:cs typeface="+mn-cs"/>
                </a:rPr>
                <a:t>"(" 𝐸𝐴𝑅</a:t>
              </a:r>
              <a:r>
                <a:rPr lang="en-US" sz="1100" b="0" i="0">
                  <a:solidFill>
                    <a:schemeClr val="tx1"/>
                  </a:solidFill>
                  <a:effectLst/>
                  <a:latin typeface="Cambria Math"/>
                  <a:ea typeface="+mn-ea"/>
                  <a:cs typeface="+mn-cs"/>
                </a:rPr>
                <a:t>+</a:t>
              </a:r>
              <a:r>
                <a:rPr lang="en-US" sz="1100" b="0" i="0">
                  <a:solidFill>
                    <a:schemeClr val="tx1"/>
                  </a:solidFill>
                  <a:effectLst/>
                  <a:latin typeface="+mn-lt"/>
                  <a:ea typeface="+mn-ea"/>
                  <a:cs typeface="+mn-cs"/>
                </a:rPr>
                <a:t>1)</a:t>
              </a:r>
              <a:r>
                <a:rPr lang="en-US" sz="1100" b="0" i="0">
                  <a:solidFill>
                    <a:schemeClr val="tx1"/>
                  </a:solidFill>
                  <a:effectLst/>
                  <a:latin typeface="Cambria Math"/>
                  <a:ea typeface="+mn-ea"/>
                  <a:cs typeface="+mn-cs"/>
                </a:rPr>
                <a:t>〗^(1/𝑛)</a:t>
              </a:r>
              <a:r>
                <a:rPr lang="en-US" sz="1100" b="0" i="0">
                  <a:solidFill>
                    <a:schemeClr val="tx1"/>
                  </a:solidFill>
                  <a:effectLst/>
                  <a:latin typeface="+mn-lt"/>
                  <a:ea typeface="+mn-ea"/>
                  <a:cs typeface="+mn-cs"/>
                </a:rPr>
                <a:t>=</a:t>
              </a:r>
              <a:r>
                <a:rPr lang="en-US" sz="1100">
                  <a:solidFill>
                    <a:schemeClr val="tx1"/>
                  </a:solidFill>
                  <a:effectLst/>
                  <a:latin typeface="+mn-lt"/>
                  <a:ea typeface="+mn-ea"/>
                  <a:cs typeface="+mn-cs"/>
                </a:rPr>
                <a:t> (1</a:t>
              </a:r>
              <a:r>
                <a:rPr lang="en-US" sz="1100" baseline="0">
                  <a:solidFill>
                    <a:schemeClr val="tx1"/>
                  </a:solidFill>
                  <a:effectLst/>
                  <a:latin typeface="+mn-lt"/>
                  <a:ea typeface="+mn-ea"/>
                  <a:cs typeface="+mn-cs"/>
                </a:rPr>
                <a:t> </a:t>
              </a:r>
              <a:r>
                <a:rPr lang="en-US" sz="1100" b="0" i="0">
                  <a:solidFill>
                    <a:schemeClr val="tx1"/>
                  </a:solidFill>
                  <a:effectLst/>
                  <a:latin typeface="+mn-lt"/>
                  <a:ea typeface="+mn-ea"/>
                  <a:cs typeface="+mn-cs"/>
                </a:rPr>
                <a:t>+</a:t>
              </a:r>
              <a:r>
                <a:rPr lang="en-US" sz="1100" baseline="0">
                  <a:solidFill>
                    <a:schemeClr val="tx1"/>
                  </a:solidFill>
                  <a:effectLst/>
                  <a:latin typeface="+mn-lt"/>
                  <a:ea typeface="+mn-ea"/>
                  <a:cs typeface="+mn-cs"/>
                </a:rPr>
                <a:t> </a:t>
              </a:r>
              <a:r>
                <a:rPr lang="en-US" sz="1100" b="0" i="0">
                  <a:solidFill>
                    <a:schemeClr val="tx1"/>
                  </a:solidFill>
                  <a:effectLst/>
                  <a:latin typeface="+mn-lt"/>
                  <a:ea typeface="+mn-ea"/>
                  <a:cs typeface="+mn-cs"/>
                </a:rPr>
                <a:t>𝑖/𝑛 </a:t>
              </a:r>
              <a:r>
                <a:rPr lang="en-US" sz="1100" b="0" i="0">
                  <a:solidFill>
                    <a:schemeClr val="tx1"/>
                  </a:solidFill>
                  <a:effectLst/>
                  <a:latin typeface="Cambria Math"/>
                  <a:ea typeface="+mn-ea"/>
                  <a:cs typeface="+mn-cs"/>
                </a:rPr>
                <a:t>"</a:t>
              </a:r>
              <a:r>
                <a:rPr lang="en-US" sz="1100" i="0">
                  <a:solidFill>
                    <a:schemeClr val="tx1"/>
                  </a:solidFill>
                  <a:effectLst/>
                  <a:latin typeface="Cambria Math"/>
                  <a:ea typeface="+mn-ea"/>
                  <a:cs typeface="+mn-cs"/>
                </a:rPr>
                <a:t> </a:t>
              </a:r>
              <a:r>
                <a:rPr lang="en-US" sz="1100" i="0">
                  <a:solidFill>
                    <a:schemeClr val="tx1"/>
                  </a:solidFill>
                  <a:effectLst/>
                  <a:latin typeface="+mn-lt"/>
                  <a:ea typeface="+mn-ea"/>
                  <a:cs typeface="+mn-cs"/>
                </a:rPr>
                <a:t>"</a:t>
              </a:r>
              <a:r>
                <a:rPr lang="en-US"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 𝐸𝐴𝑅</a:t>
              </a:r>
              <a:r>
                <a:rPr lang="en-US" sz="1100" b="0" i="0">
                  <a:solidFill>
                    <a:schemeClr val="tx1"/>
                  </a:solidFill>
                  <a:effectLst/>
                  <a:latin typeface="Cambria Math"/>
                  <a:ea typeface="+mn-ea"/>
                  <a:cs typeface="+mn-cs"/>
                </a:rPr>
                <a:t>+</a:t>
              </a:r>
              <a:r>
                <a:rPr lang="en-US" sz="1100" b="0" i="0">
                  <a:solidFill>
                    <a:schemeClr val="tx1"/>
                  </a:solidFill>
                  <a:effectLst/>
                  <a:latin typeface="+mn-lt"/>
                  <a:ea typeface="+mn-ea"/>
                  <a:cs typeface="+mn-cs"/>
                </a:rPr>
                <a:t>1)〗^(1/𝑛)</a:t>
              </a:r>
              <a:r>
                <a:rPr lang="en-US" sz="1100" b="0" i="0">
                  <a:solidFill>
                    <a:schemeClr val="tx1"/>
                  </a:solidFill>
                  <a:effectLst/>
                  <a:latin typeface="Cambria Math"/>
                  <a:ea typeface="+mn-ea"/>
                  <a:cs typeface="+mn-cs"/>
                </a:rPr>
                <a:t>  −1</a:t>
              </a:r>
              <a:r>
                <a:rPr lang="en-US" sz="1100" b="0" i="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b="0" i="0">
                  <a:solidFill>
                    <a:schemeClr val="tx1"/>
                  </a:solidFill>
                  <a:effectLst/>
                  <a:latin typeface="+mn-lt"/>
                  <a:ea typeface="+mn-ea"/>
                  <a:cs typeface="+mn-cs"/>
                </a:rPr>
                <a:t>𝑖/𝑛 </a:t>
              </a:r>
              <a:r>
                <a:rPr lang="en-US" sz="1100" b="0" i="0">
                  <a:solidFill>
                    <a:schemeClr val="tx1"/>
                  </a:solidFill>
                  <a:effectLst/>
                  <a:latin typeface="Cambria Math"/>
                  <a:ea typeface="+mn-ea"/>
                  <a:cs typeface="+mn-cs"/>
                </a:rPr>
                <a:t>"</a:t>
              </a:r>
              <a:r>
                <a:rPr lang="en-US" sz="1100" i="0">
                  <a:solidFill>
                    <a:schemeClr val="tx1"/>
                  </a:solidFill>
                  <a:effectLst/>
                  <a:latin typeface="Cambria Math"/>
                  <a:ea typeface="+mn-ea"/>
                  <a:cs typeface="+mn-cs"/>
                </a:rPr>
                <a:t> </a:t>
              </a:r>
              <a:r>
                <a:rPr lang="en-US" sz="1100" i="0">
                  <a:solidFill>
                    <a:schemeClr val="tx1"/>
                  </a:solidFill>
                  <a:effectLst/>
                  <a:latin typeface="+mn-lt"/>
                  <a:ea typeface="+mn-ea"/>
                  <a:cs typeface="+mn-cs"/>
                </a:rPr>
                <a: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a:t>
              </a:r>
              <a:r>
                <a:rPr lang="en-US" sz="1100" b="0" i="0">
                  <a:solidFill>
                    <a:schemeClr val="tx1"/>
                  </a:solidFill>
                  <a:effectLst/>
                  <a:latin typeface="+mn-lt"/>
                  <a:ea typeface="+mn-ea"/>
                  <a:cs typeface="+mn-cs"/>
                </a:rPr>
                <a:t>〖"(" 𝐸𝐴𝑅+1)〗^(1/𝑛)  −1</a:t>
              </a:r>
              <a:r>
                <a:rPr lang="en-US" sz="1100" b="0" i="0">
                  <a:solidFill>
                    <a:schemeClr val="tx1"/>
                  </a:solidFill>
                  <a:effectLst/>
                  <a:latin typeface="Cambria Math"/>
                  <a:ea typeface="+mn-ea"/>
                  <a:cs typeface="+mn-cs"/>
                </a:rPr>
                <a:t>)∗𝑛</a:t>
              </a:r>
              <a:r>
                <a:rPr lang="en-US" sz="1100" b="0" i="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b="0" i="0">
                  <a:solidFill>
                    <a:schemeClr val="tx1"/>
                  </a:solidFill>
                  <a:effectLst/>
                  <a:latin typeface="Cambria Math"/>
                  <a:ea typeface="+mn-ea"/>
                  <a:cs typeface="+mn-cs"/>
                </a:rPr>
                <a:t>𝑖"</a:t>
              </a:r>
              <a:r>
                <a:rPr lang="en-US" sz="1100" i="0">
                  <a:solidFill>
                    <a:schemeClr val="tx1"/>
                  </a:solidFill>
                  <a:effectLst/>
                  <a:latin typeface="Cambria Math"/>
                  <a:ea typeface="+mn-ea"/>
                  <a:cs typeface="+mn-cs"/>
                </a:rPr>
                <a:t> </a:t>
              </a:r>
              <a:r>
                <a:rPr lang="en-US" sz="1100" i="0">
                  <a:solidFill>
                    <a:schemeClr val="tx1"/>
                  </a:solidFill>
                  <a:effectLst/>
                  <a:latin typeface="+mn-lt"/>
                  <a:ea typeface="+mn-ea"/>
                  <a:cs typeface="+mn-cs"/>
                </a:rPr>
                <a: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2</xdr:col>
      <xdr:colOff>420416</xdr:colOff>
      <xdr:row>3</xdr:row>
      <xdr:rowOff>94593</xdr:rowOff>
    </xdr:from>
    <xdr:ext cx="2580194" cy="2501462"/>
    <mc:AlternateContent xmlns:mc="http://schemas.openxmlformats.org/markup-compatibility/2006" xmlns:a14="http://schemas.microsoft.com/office/drawing/2010/main">
      <mc:Choice Requires="a14">
        <xdr:sp macro="" textlink="">
          <xdr:nvSpPr>
            <xdr:cNvPr id="2" name="TextBox 1"/>
            <xdr:cNvSpPr txBox="1"/>
          </xdr:nvSpPr>
          <xdr:spPr>
            <a:xfrm>
              <a:off x="2965496" y="1191873"/>
              <a:ext cx="2580194" cy="250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t>i = APR</a:t>
              </a:r>
            </a:p>
            <a:p>
              <a:endParaRPr lang="en-US" sz="1100" b="0" i="1">
                <a:latin typeface="Cambria Math"/>
              </a:endParaRPr>
            </a:p>
            <a:p>
              <a14:m>
                <m:oMath xmlns:m="http://schemas.openxmlformats.org/officeDocument/2006/math">
                  <m:r>
                    <a:rPr lang="en-US" sz="1100" b="0" i="1">
                      <a:latin typeface="Cambria Math"/>
                    </a:rPr>
                    <m:t>𝐸𝐴𝑅</m:t>
                  </m:r>
                  <m:r>
                    <a:rPr lang="en-US" sz="1100" b="0" i="1">
                      <a:latin typeface="Cambria Math"/>
                    </a:rPr>
                    <m:t>=</m:t>
                  </m:r>
                </m:oMath>
              </a14:m>
              <a:r>
                <a:rPr lang="en-US" sz="1100"/>
                <a:t> </a:t>
              </a:r>
              <a14:m>
                <m:oMath xmlns:m="http://schemas.openxmlformats.org/officeDocument/2006/math">
                  <m:sSup>
                    <m:sSupPr>
                      <m:ctrlPr>
                        <a:rPr lang="en-US" sz="1100" i="1">
                          <a:latin typeface="Cambria Math"/>
                        </a:rPr>
                      </m:ctrlPr>
                    </m:sSupPr>
                    <m:e>
                      <m:r>
                        <a:rPr lang="en-US" sz="1100" b="0" i="1">
                          <a:solidFill>
                            <a:schemeClr val="tx1"/>
                          </a:solidFill>
                          <a:effectLst/>
                          <a:latin typeface="Cambria Math"/>
                          <a:ea typeface="+mn-ea"/>
                          <a:cs typeface="+mn-cs"/>
                        </a:rPr>
                        <m:t>(1+</m:t>
                      </m:r>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𝑖</m:t>
                          </m:r>
                        </m:num>
                        <m:den>
                          <m:r>
                            <a:rPr lang="en-US" sz="1100" b="0" i="1">
                              <a:solidFill>
                                <a:schemeClr val="tx1"/>
                              </a:solidFill>
                              <a:effectLst/>
                              <a:latin typeface="Cambria Math"/>
                              <a:ea typeface="+mn-ea"/>
                              <a:cs typeface="+mn-cs"/>
                            </a:rPr>
                            <m:t>𝑛</m:t>
                          </m:r>
                        </m:den>
                      </m:f>
                      <m:r>
                        <m:rPr>
                          <m:nor/>
                        </m:rPr>
                        <a:rPr lang="en-US" sz="1100">
                          <a:solidFill>
                            <a:schemeClr val="tx1"/>
                          </a:solidFill>
                          <a:effectLst/>
                          <a:latin typeface="+mn-lt"/>
                          <a:ea typeface="+mn-ea"/>
                          <a:cs typeface="+mn-cs"/>
                        </a:rPr>
                        <m:t> )</m:t>
                      </m:r>
                    </m:e>
                    <m:sup>
                      <m:r>
                        <a:rPr lang="en-US" sz="1100" b="0" i="1">
                          <a:latin typeface="Cambria Math"/>
                        </a:rPr>
                        <m:t>𝑛</m:t>
                      </m:r>
                    </m:sup>
                  </m:sSup>
                </m:oMath>
              </a14:m>
              <a:r>
                <a:rPr lang="en-US" sz="1100"/>
                <a:t>-1</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100" b="0" i="1">
                      <a:solidFill>
                        <a:schemeClr val="tx1"/>
                      </a:solidFill>
                      <a:effectLst/>
                      <a:latin typeface="Cambria Math"/>
                      <a:ea typeface="+mn-ea"/>
                      <a:cs typeface="+mn-cs"/>
                    </a:rPr>
                    <m:t>𝐸𝐴𝑅</m:t>
                  </m:r>
                  <m:r>
                    <a:rPr lang="en-US" sz="1100" b="0" i="1">
                      <a:solidFill>
                        <a:schemeClr val="tx1"/>
                      </a:solidFill>
                      <a:effectLst/>
                      <a:latin typeface="Cambria Math"/>
                      <a:ea typeface="+mn-ea"/>
                      <a:cs typeface="+mn-cs"/>
                    </a:rPr>
                    <m:t>+1=</m:t>
                  </m:r>
                </m:oMath>
              </a14:m>
              <a:r>
                <a:rPr lang="en-US" sz="1100">
                  <a:solidFill>
                    <a:schemeClr val="tx1"/>
                  </a:solidFill>
                  <a:effectLst/>
                  <a:latin typeface="+mn-lt"/>
                  <a:ea typeface="+mn-ea"/>
                  <a:cs typeface="+mn-cs"/>
                </a:rPr>
                <a:t> </a:t>
              </a:r>
              <a14:m>
                <m:oMath xmlns:m="http://schemas.openxmlformats.org/officeDocument/2006/math">
                  <m:sSup>
                    <m:sSupPr>
                      <m:ctrlPr>
                        <a:rPr lang="en-US" sz="1100" i="1">
                          <a:solidFill>
                            <a:schemeClr val="tx1"/>
                          </a:solidFill>
                          <a:effectLst/>
                          <a:latin typeface="Cambria Math"/>
                          <a:ea typeface="+mn-ea"/>
                          <a:cs typeface="+mn-cs"/>
                        </a:rPr>
                      </m:ctrlPr>
                    </m:sSupPr>
                    <m:e>
                      <m:r>
                        <a:rPr lang="en-US" sz="1100" b="0" i="1">
                          <a:solidFill>
                            <a:schemeClr val="tx1"/>
                          </a:solidFill>
                          <a:effectLst/>
                          <a:latin typeface="Cambria Math"/>
                          <a:ea typeface="+mn-ea"/>
                          <a:cs typeface="+mn-cs"/>
                        </a:rPr>
                        <m:t>(1+</m:t>
                      </m:r>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𝑖</m:t>
                          </m:r>
                        </m:num>
                        <m:den>
                          <m:r>
                            <a:rPr lang="en-US" sz="1100" b="0" i="1">
                              <a:solidFill>
                                <a:schemeClr val="tx1"/>
                              </a:solidFill>
                              <a:effectLst/>
                              <a:latin typeface="Cambria Math"/>
                              <a:ea typeface="+mn-ea"/>
                              <a:cs typeface="+mn-cs"/>
                            </a:rPr>
                            <m:t>𝑛</m:t>
                          </m:r>
                        </m:den>
                      </m:f>
                      <m:r>
                        <m:rPr>
                          <m:nor/>
                        </m:rPr>
                        <a:rPr lang="en-US" sz="1100" i="1">
                          <a:solidFill>
                            <a:schemeClr val="tx1"/>
                          </a:solidFill>
                          <a:effectLst/>
                          <a:latin typeface="+mn-lt"/>
                          <a:ea typeface="+mn-ea"/>
                          <a:cs typeface="+mn-cs"/>
                        </a:rPr>
                        <m:t> </m:t>
                      </m:r>
                      <m:r>
                        <m:rPr>
                          <m:nor/>
                        </m:rPr>
                        <a:rPr lang="en-US" sz="1100">
                          <a:solidFill>
                            <a:schemeClr val="tx1"/>
                          </a:solidFill>
                          <a:effectLst/>
                          <a:latin typeface="+mn-lt"/>
                          <a:ea typeface="+mn-ea"/>
                          <a:cs typeface="+mn-cs"/>
                        </a:rPr>
                        <m:t>)</m:t>
                      </m:r>
                    </m:e>
                    <m:sup>
                      <m:r>
                        <a:rPr lang="en-US" sz="1100" b="0" i="1">
                          <a:solidFill>
                            <a:schemeClr val="tx1"/>
                          </a:solidFill>
                          <a:effectLst/>
                          <a:latin typeface="Cambria Math"/>
                          <a:ea typeface="+mn-ea"/>
                          <a:cs typeface="+mn-cs"/>
                        </a:rPr>
                        <m:t>𝑛</m:t>
                      </m:r>
                    </m:sup>
                  </m:sSup>
                </m:oMath>
              </a14:m>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n-US" sz="1100" b="0" i="1">
                          <a:solidFill>
                            <a:schemeClr val="tx1"/>
                          </a:solidFill>
                          <a:effectLst/>
                          <a:latin typeface="Cambria Math"/>
                          <a:ea typeface="+mn-ea"/>
                          <a:cs typeface="+mn-cs"/>
                        </a:rPr>
                      </m:ctrlPr>
                    </m:sSupPr>
                    <m:e>
                      <m:r>
                        <m:rPr>
                          <m:nor/>
                        </m:rPr>
                        <a:rPr lang="en-US" sz="1100" b="0">
                          <a:solidFill>
                            <a:schemeClr val="tx1"/>
                          </a:solidFill>
                          <a:effectLst/>
                          <a:latin typeface="+mn-lt"/>
                          <a:ea typeface="+mn-ea"/>
                          <a:cs typeface="+mn-cs"/>
                        </a:rPr>
                        <m:t>(</m:t>
                      </m:r>
                      <m:r>
                        <a:rPr lang="en-US" sz="1100" b="0" i="1">
                          <a:solidFill>
                            <a:schemeClr val="tx1"/>
                          </a:solidFill>
                          <a:effectLst/>
                          <a:latin typeface="Cambria Math"/>
                          <a:ea typeface="+mn-ea"/>
                          <a:cs typeface="+mn-cs"/>
                        </a:rPr>
                        <m:t>𝐸𝐴𝑅</m:t>
                      </m:r>
                      <m:r>
                        <a:rPr lang="en-US" sz="1100" b="0" i="1">
                          <a:solidFill>
                            <a:schemeClr val="tx1"/>
                          </a:solidFill>
                          <a:effectLst/>
                          <a:latin typeface="Cambria Math"/>
                          <a:ea typeface="+mn-ea"/>
                          <a:cs typeface="+mn-cs"/>
                        </a:rPr>
                        <m:t>+1)</m:t>
                      </m:r>
                    </m:e>
                    <m:sup>
                      <m:r>
                        <a:rPr lang="en-US" sz="1100" b="0" i="1">
                          <a:solidFill>
                            <a:schemeClr val="tx1"/>
                          </a:solidFill>
                          <a:effectLst/>
                          <a:latin typeface="Cambria Math"/>
                          <a:ea typeface="+mn-ea"/>
                          <a:cs typeface="+mn-cs"/>
                        </a:rPr>
                        <m:t>1/</m:t>
                      </m:r>
                      <m:r>
                        <a:rPr lang="en-US" sz="1100" b="0" i="1">
                          <a:solidFill>
                            <a:schemeClr val="tx1"/>
                          </a:solidFill>
                          <a:effectLst/>
                          <a:latin typeface="Cambria Math"/>
                          <a:ea typeface="+mn-ea"/>
                          <a:cs typeface="+mn-cs"/>
                        </a:rPr>
                        <m:t>𝑛</m:t>
                      </m:r>
                    </m:sup>
                  </m:sSup>
                  <m:r>
                    <a:rPr lang="en-US" sz="1100" b="0" i="1">
                      <a:solidFill>
                        <a:schemeClr val="tx1"/>
                      </a:solidFill>
                      <a:effectLst/>
                      <a:latin typeface="Cambria Math"/>
                      <a:ea typeface="+mn-ea"/>
                      <a:cs typeface="+mn-cs"/>
                    </a:rPr>
                    <m:t>=</m:t>
                  </m:r>
                </m:oMath>
              </a14:m>
              <a:r>
                <a:rPr lang="en-US" sz="1100">
                  <a:solidFill>
                    <a:schemeClr val="tx1"/>
                  </a:solidFill>
                  <a:effectLst/>
                  <a:latin typeface="+mn-lt"/>
                  <a:ea typeface="+mn-ea"/>
                  <a:cs typeface="+mn-cs"/>
                </a:rPr>
                <a:t> (1</a:t>
              </a:r>
              <a:r>
                <a:rPr lang="en-US" sz="1100" baseline="0">
                  <a:solidFill>
                    <a:schemeClr val="tx1"/>
                  </a:solidFill>
                  <a:effectLst/>
                  <a:latin typeface="+mn-lt"/>
                  <a:ea typeface="+mn-ea"/>
                  <a:cs typeface="+mn-cs"/>
                </a:rPr>
                <a:t> </a:t>
              </a:r>
              <a14:m>
                <m:oMath xmlns:m="http://schemas.openxmlformats.org/officeDocument/2006/math">
                  <m:r>
                    <a:rPr lang="en-US" sz="1100" b="0" i="1">
                      <a:solidFill>
                        <a:schemeClr val="tx1"/>
                      </a:solidFill>
                      <a:effectLst/>
                      <a:latin typeface="Cambria Math"/>
                      <a:ea typeface="+mn-ea"/>
                      <a:cs typeface="+mn-cs"/>
                    </a:rPr>
                    <m:t>+</m:t>
                  </m:r>
                </m:oMath>
              </a14:m>
              <a:r>
                <a:rPr lang="en-US" sz="1100" baseline="0">
                  <a:solidFill>
                    <a:schemeClr val="tx1"/>
                  </a:solidFill>
                  <a:effectLst/>
                  <a:latin typeface="+mn-lt"/>
                  <a:ea typeface="+mn-ea"/>
                  <a:cs typeface="+mn-cs"/>
                </a:rPr>
                <a:t> </a:t>
              </a:r>
              <a14:m>
                <m:oMath xmlns:m="http://schemas.openxmlformats.org/officeDocument/2006/math">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𝑖</m:t>
                      </m:r>
                    </m:num>
                    <m:den>
                      <m:r>
                        <a:rPr lang="en-US" sz="1100" b="0" i="1">
                          <a:solidFill>
                            <a:schemeClr val="tx1"/>
                          </a:solidFill>
                          <a:effectLst/>
                          <a:latin typeface="Cambria Math"/>
                          <a:ea typeface="+mn-ea"/>
                          <a:cs typeface="+mn-cs"/>
                        </a:rPr>
                        <m:t>𝑛</m:t>
                      </m:r>
                    </m:den>
                  </m:f>
                  <m:r>
                    <m:rPr>
                      <m:nor/>
                    </m:rPr>
                    <a:rPr lang="en-US" sz="1100" i="1">
                      <a:solidFill>
                        <a:schemeClr val="tx1"/>
                      </a:solidFill>
                      <a:effectLst/>
                      <a:latin typeface="+mn-lt"/>
                      <a:ea typeface="+mn-ea"/>
                      <a:cs typeface="+mn-cs"/>
                    </a:rPr>
                    <m:t> </m:t>
                  </m:r>
                </m:oMath>
              </a14:m>
              <a:r>
                <a:rPr lang="en-US"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n-US" sz="1100" b="0" i="1">
                          <a:solidFill>
                            <a:schemeClr val="tx1"/>
                          </a:solidFill>
                          <a:effectLst/>
                          <a:latin typeface="Cambria Math"/>
                          <a:ea typeface="+mn-ea"/>
                          <a:cs typeface="+mn-cs"/>
                        </a:rPr>
                      </m:ctrlPr>
                    </m:sSupPr>
                    <m:e>
                      <m:r>
                        <m:rPr>
                          <m:nor/>
                        </m:rPr>
                        <a:rPr lang="en-US" sz="1100" b="0">
                          <a:solidFill>
                            <a:schemeClr val="tx1"/>
                          </a:solidFill>
                          <a:effectLst/>
                          <a:latin typeface="+mn-lt"/>
                          <a:ea typeface="+mn-ea"/>
                          <a:cs typeface="+mn-cs"/>
                        </a:rPr>
                        <m:t>(</m:t>
                      </m:r>
                      <m:r>
                        <a:rPr lang="en-US" sz="1100" b="0" i="1">
                          <a:solidFill>
                            <a:schemeClr val="tx1"/>
                          </a:solidFill>
                          <a:effectLst/>
                          <a:latin typeface="Cambria Math"/>
                          <a:ea typeface="+mn-ea"/>
                          <a:cs typeface="+mn-cs"/>
                        </a:rPr>
                        <m:t>𝐸𝐴𝑅</m:t>
                      </m:r>
                      <m:r>
                        <a:rPr lang="en-US" sz="1100" b="0" i="1">
                          <a:solidFill>
                            <a:schemeClr val="tx1"/>
                          </a:solidFill>
                          <a:effectLst/>
                          <a:latin typeface="Cambria Math"/>
                          <a:ea typeface="+mn-ea"/>
                          <a:cs typeface="+mn-cs"/>
                        </a:rPr>
                        <m:t>+1)</m:t>
                      </m:r>
                    </m:e>
                    <m:sup>
                      <m:r>
                        <a:rPr lang="en-US" sz="1100" b="0" i="1">
                          <a:solidFill>
                            <a:schemeClr val="tx1"/>
                          </a:solidFill>
                          <a:effectLst/>
                          <a:latin typeface="Cambria Math"/>
                          <a:ea typeface="+mn-ea"/>
                          <a:cs typeface="+mn-cs"/>
                        </a:rPr>
                        <m:t>1/</m:t>
                      </m:r>
                      <m:r>
                        <a:rPr lang="en-US" sz="1100" b="0" i="1">
                          <a:solidFill>
                            <a:schemeClr val="tx1"/>
                          </a:solidFill>
                          <a:effectLst/>
                          <a:latin typeface="Cambria Math"/>
                          <a:ea typeface="+mn-ea"/>
                          <a:cs typeface="+mn-cs"/>
                        </a:rPr>
                        <m:t>𝑛</m:t>
                      </m:r>
                    </m:sup>
                  </m:sSup>
                  <m:r>
                    <a:rPr lang="en-US" sz="1100" b="0" i="1">
                      <a:solidFill>
                        <a:schemeClr val="tx1"/>
                      </a:solidFill>
                      <a:effectLst/>
                      <a:latin typeface="Cambria Math"/>
                      <a:ea typeface="+mn-ea"/>
                      <a:cs typeface="+mn-cs"/>
                    </a:rPr>
                    <m:t> −1=</m:t>
                  </m:r>
                </m:oMath>
              </a14:m>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14:m>
                <m:oMath xmlns:m="http://schemas.openxmlformats.org/officeDocument/2006/math">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𝑖</m:t>
                      </m:r>
                    </m:num>
                    <m:den>
                      <m:r>
                        <a:rPr lang="en-US" sz="1100" b="0" i="1">
                          <a:solidFill>
                            <a:schemeClr val="tx1"/>
                          </a:solidFill>
                          <a:effectLst/>
                          <a:latin typeface="Cambria Math"/>
                          <a:ea typeface="+mn-ea"/>
                          <a:cs typeface="+mn-cs"/>
                        </a:rPr>
                        <m:t>𝑛</m:t>
                      </m:r>
                    </m:den>
                  </m:f>
                  <m:r>
                    <m:rPr>
                      <m:nor/>
                    </m:rPr>
                    <a:rPr lang="en-US" sz="1100" i="1">
                      <a:solidFill>
                        <a:schemeClr val="tx1"/>
                      </a:solidFill>
                      <a:effectLst/>
                      <a:latin typeface="+mn-lt"/>
                      <a:ea typeface="+mn-ea"/>
                      <a:cs typeface="+mn-cs"/>
                    </a:rPr>
                    <m:t> </m:t>
                  </m:r>
                </m:oMath>
              </a14:m>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a:t>
              </a:r>
              <a14:m>
                <m:oMath xmlns:m="http://schemas.openxmlformats.org/officeDocument/2006/math">
                  <m:sSup>
                    <m:sSupPr>
                      <m:ctrlPr>
                        <a:rPr lang="en-US" sz="1100" b="0" i="1">
                          <a:solidFill>
                            <a:schemeClr val="tx1"/>
                          </a:solidFill>
                          <a:effectLst/>
                          <a:latin typeface="Cambria Math"/>
                          <a:ea typeface="+mn-ea"/>
                          <a:cs typeface="+mn-cs"/>
                        </a:rPr>
                      </m:ctrlPr>
                    </m:sSupPr>
                    <m:e>
                      <m:r>
                        <m:rPr>
                          <m:nor/>
                        </m:rPr>
                        <a:rPr lang="en-US" sz="1100" b="0">
                          <a:solidFill>
                            <a:schemeClr val="tx1"/>
                          </a:solidFill>
                          <a:effectLst/>
                          <a:latin typeface="+mn-lt"/>
                          <a:ea typeface="+mn-ea"/>
                          <a:cs typeface="+mn-cs"/>
                        </a:rPr>
                        <m:t>(</m:t>
                      </m:r>
                      <m:r>
                        <a:rPr lang="en-US" sz="1100" b="0" i="1">
                          <a:solidFill>
                            <a:schemeClr val="tx1"/>
                          </a:solidFill>
                          <a:effectLst/>
                          <a:latin typeface="Cambria Math"/>
                          <a:ea typeface="+mn-ea"/>
                          <a:cs typeface="+mn-cs"/>
                        </a:rPr>
                        <m:t>𝐸𝐴𝑅</m:t>
                      </m:r>
                      <m:r>
                        <a:rPr lang="en-US" sz="1100" b="0" i="1">
                          <a:solidFill>
                            <a:schemeClr val="tx1"/>
                          </a:solidFill>
                          <a:effectLst/>
                          <a:latin typeface="Cambria Math"/>
                          <a:ea typeface="+mn-ea"/>
                          <a:cs typeface="+mn-cs"/>
                        </a:rPr>
                        <m:t>+1)</m:t>
                      </m:r>
                    </m:e>
                    <m:sup>
                      <m:r>
                        <a:rPr lang="en-US" sz="1100" b="0" i="1">
                          <a:solidFill>
                            <a:schemeClr val="tx1"/>
                          </a:solidFill>
                          <a:effectLst/>
                          <a:latin typeface="Cambria Math"/>
                          <a:ea typeface="+mn-ea"/>
                          <a:cs typeface="+mn-cs"/>
                        </a:rPr>
                        <m:t>1/</m:t>
                      </m:r>
                      <m:r>
                        <a:rPr lang="en-US" sz="1100" b="0" i="1">
                          <a:solidFill>
                            <a:schemeClr val="tx1"/>
                          </a:solidFill>
                          <a:effectLst/>
                          <a:latin typeface="Cambria Math"/>
                          <a:ea typeface="+mn-ea"/>
                          <a:cs typeface="+mn-cs"/>
                        </a:rPr>
                        <m:t>𝑛</m:t>
                      </m:r>
                    </m:sup>
                  </m:sSup>
                  <m:r>
                    <a:rPr lang="en-US" sz="1100" b="0" i="1">
                      <a:solidFill>
                        <a:schemeClr val="tx1"/>
                      </a:solidFill>
                      <a:effectLst/>
                      <a:latin typeface="Cambria Math"/>
                      <a:ea typeface="+mn-ea"/>
                      <a:cs typeface="+mn-cs"/>
                    </a:rPr>
                    <m:t> −1)∗</m:t>
                  </m:r>
                  <m:r>
                    <a:rPr lang="en-US" sz="1100" b="0" i="1">
                      <a:solidFill>
                        <a:schemeClr val="tx1"/>
                      </a:solidFill>
                      <a:effectLst/>
                      <a:latin typeface="Cambria Math"/>
                      <a:ea typeface="+mn-ea"/>
                      <a:cs typeface="+mn-cs"/>
                    </a:rPr>
                    <m:t>𝑛</m:t>
                  </m:r>
                  <m:r>
                    <a:rPr lang="en-US" sz="1100" b="0" i="1">
                      <a:solidFill>
                        <a:schemeClr val="tx1"/>
                      </a:solidFill>
                      <a:effectLst/>
                      <a:latin typeface="Cambria Math"/>
                      <a:ea typeface="+mn-ea"/>
                      <a:cs typeface="+mn-cs"/>
                    </a:rPr>
                    <m:t>=</m:t>
                  </m:r>
                </m:oMath>
              </a14:m>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14:m>
                <m:oMath xmlns:m="http://schemas.openxmlformats.org/officeDocument/2006/math">
                  <m:r>
                    <a:rPr lang="en-US" sz="1100" b="0" i="1">
                      <a:solidFill>
                        <a:schemeClr val="tx1"/>
                      </a:solidFill>
                      <a:effectLst/>
                      <a:latin typeface="Cambria Math"/>
                      <a:ea typeface="+mn-ea"/>
                      <a:cs typeface="+mn-cs"/>
                    </a:rPr>
                    <m:t>𝑖</m:t>
                  </m:r>
                  <m:r>
                    <m:rPr>
                      <m:nor/>
                    </m:rPr>
                    <a:rPr lang="en-US" sz="1100" i="1">
                      <a:solidFill>
                        <a:schemeClr val="tx1"/>
                      </a:solidFill>
                      <a:effectLst/>
                      <a:latin typeface="+mn-lt"/>
                      <a:ea typeface="+mn-ea"/>
                      <a:cs typeface="+mn-cs"/>
                    </a:rPr>
                    <m:t> </m:t>
                  </m:r>
                </m:oMath>
              </a14:m>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mc:Choice>
      <mc:Fallback xmlns="">
        <xdr:sp macro="" textlink="">
          <xdr:nvSpPr>
            <xdr:cNvPr id="2" name="TextBox 1"/>
            <xdr:cNvSpPr txBox="1"/>
          </xdr:nvSpPr>
          <xdr:spPr>
            <a:xfrm>
              <a:off x="2965496" y="1191873"/>
              <a:ext cx="2580194" cy="2501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t>i = APR</a:t>
              </a:r>
            </a:p>
            <a:p>
              <a:endParaRPr lang="en-US" sz="1100" b="0" i="1">
                <a:latin typeface="Cambria Math"/>
              </a:endParaRPr>
            </a:p>
            <a:p>
              <a:r>
                <a:rPr lang="en-US" sz="1100" b="0" i="0">
                  <a:latin typeface="Cambria Math"/>
                </a:rPr>
                <a:t>𝐸𝐴𝑅=</a:t>
              </a:r>
              <a:r>
                <a:rPr lang="en-US" sz="1100"/>
                <a:t> </a:t>
              </a:r>
              <a:r>
                <a:rPr lang="en-US" sz="1100" i="0">
                  <a:latin typeface="Cambria Math"/>
                </a:rPr>
                <a:t>〖</a:t>
              </a:r>
              <a:r>
                <a:rPr lang="en-US" sz="1100" b="0" i="0">
                  <a:solidFill>
                    <a:schemeClr val="tx1"/>
                  </a:solidFill>
                  <a:effectLst/>
                  <a:latin typeface="Cambria Math"/>
                  <a:ea typeface="+mn-ea"/>
                  <a:cs typeface="+mn-cs"/>
                </a:rPr>
                <a:t>(1+𝑖/𝑛</a:t>
              </a:r>
              <a:r>
                <a:rPr lang="en-US" sz="1100" b="0" i="0">
                  <a:solidFill>
                    <a:schemeClr val="tx1"/>
                  </a:solidFill>
                  <a:effectLst/>
                  <a:latin typeface="+mn-lt"/>
                  <a:ea typeface="+mn-ea"/>
                  <a:cs typeface="+mn-cs"/>
                </a:rPr>
                <a:t> "</a:t>
              </a:r>
              <a:r>
                <a:rPr lang="en-US" sz="1100" i="0">
                  <a:solidFill>
                    <a:schemeClr val="tx1"/>
                  </a:solidFill>
                  <a:effectLst/>
                  <a:latin typeface="+mn-lt"/>
                  <a:ea typeface="+mn-ea"/>
                  <a:cs typeface="+mn-cs"/>
                </a:rPr>
                <a:t> )</a:t>
              </a:r>
              <a:r>
                <a:rPr lang="en-US" sz="1100" i="0">
                  <a:solidFill>
                    <a:schemeClr val="tx1"/>
                  </a:solidFill>
                  <a:effectLst/>
                  <a:latin typeface="Cambria Math"/>
                  <a:ea typeface="+mn-ea"/>
                  <a:cs typeface="+mn-cs"/>
                </a:rPr>
                <a:t>" 〗^</a:t>
              </a:r>
              <a:r>
                <a:rPr lang="en-US" sz="1100" b="0" i="0">
                  <a:latin typeface="Cambria Math"/>
                </a:rPr>
                <a:t>𝑛</a:t>
              </a:r>
              <a:r>
                <a:rPr lang="en-US" sz="1100"/>
                <a:t>-1</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a:ea typeface="+mn-ea"/>
                  <a:cs typeface="+mn-cs"/>
                </a:rPr>
                <a:t>𝐸𝐴𝑅+1=</a:t>
              </a:r>
              <a:r>
                <a:rPr lang="en-US" sz="1100">
                  <a:solidFill>
                    <a:schemeClr val="tx1"/>
                  </a:solidFill>
                  <a:effectLst/>
                  <a:latin typeface="+mn-lt"/>
                  <a:ea typeface="+mn-ea"/>
                  <a:cs typeface="+mn-cs"/>
                </a:rPr>
                <a:t> </a:t>
              </a:r>
              <a:r>
                <a:rPr lang="en-US" sz="1100" i="0">
                  <a:solidFill>
                    <a:schemeClr val="tx1"/>
                  </a:solidFill>
                  <a:effectLst/>
                  <a:latin typeface="Cambria Math"/>
                  <a:ea typeface="+mn-ea"/>
                  <a:cs typeface="+mn-cs"/>
                </a:rPr>
                <a:t>〖</a:t>
              </a:r>
              <a:r>
                <a:rPr lang="en-US" sz="1100" b="0" i="0">
                  <a:solidFill>
                    <a:schemeClr val="tx1"/>
                  </a:solidFill>
                  <a:effectLst/>
                  <a:latin typeface="Cambria Math"/>
                  <a:ea typeface="+mn-ea"/>
                  <a:cs typeface="+mn-cs"/>
                </a:rPr>
                <a:t>(1+𝑖/𝑛</a:t>
              </a:r>
              <a:r>
                <a:rPr lang="en-US" sz="1100" b="0" i="0">
                  <a:solidFill>
                    <a:schemeClr val="tx1"/>
                  </a:solidFill>
                  <a:effectLst/>
                  <a:latin typeface="+mn-lt"/>
                  <a:ea typeface="+mn-ea"/>
                  <a:cs typeface="+mn-cs"/>
                </a:rPr>
                <a:t> "</a:t>
              </a:r>
              <a:r>
                <a:rPr lang="en-US" sz="1100" i="0">
                  <a:solidFill>
                    <a:schemeClr val="tx1"/>
                  </a:solidFill>
                  <a:effectLst/>
                  <a:latin typeface="+mn-lt"/>
                  <a:ea typeface="+mn-ea"/>
                  <a:cs typeface="+mn-cs"/>
                </a:rPr>
                <a:t> )</a:t>
              </a:r>
              <a:r>
                <a:rPr lang="en-US" sz="1100" i="0">
                  <a:solidFill>
                    <a:schemeClr val="tx1"/>
                  </a:solidFill>
                  <a:effectLst/>
                  <a:latin typeface="Cambria Math"/>
                  <a:ea typeface="+mn-ea"/>
                  <a:cs typeface="+mn-cs"/>
                </a:rPr>
                <a:t>" 〗^</a:t>
              </a:r>
              <a:r>
                <a:rPr lang="en-US" sz="1100" b="0" i="0">
                  <a:solidFill>
                    <a:schemeClr val="tx1"/>
                  </a:solidFill>
                  <a:effectLst/>
                  <a:latin typeface="Cambria Math"/>
                  <a:ea typeface="+mn-ea"/>
                  <a:cs typeface="+mn-cs"/>
                </a:rPr>
                <a:t>𝑛</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a:ea typeface="+mn-ea"/>
                  <a:cs typeface="+mn-cs"/>
                </a:rPr>
                <a:t>〖</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 𝐸𝐴𝑅+1)〗^(1/𝑛)=</a:t>
              </a:r>
              <a:r>
                <a:rPr lang="en-US" sz="1100">
                  <a:solidFill>
                    <a:schemeClr val="tx1"/>
                  </a:solidFill>
                  <a:effectLst/>
                  <a:latin typeface="+mn-lt"/>
                  <a:ea typeface="+mn-ea"/>
                  <a:cs typeface="+mn-cs"/>
                </a:rPr>
                <a:t> (1</a:t>
              </a:r>
              <a:r>
                <a:rPr lang="en-US" sz="1100" baseline="0">
                  <a:solidFill>
                    <a:schemeClr val="tx1"/>
                  </a:solidFill>
                  <a:effectLst/>
                  <a:latin typeface="+mn-lt"/>
                  <a:ea typeface="+mn-ea"/>
                  <a:cs typeface="+mn-cs"/>
                </a:rPr>
                <a:t> </a:t>
              </a:r>
              <a:r>
                <a:rPr lang="en-US" sz="1100" b="0" i="0">
                  <a:solidFill>
                    <a:schemeClr val="tx1"/>
                  </a:solidFill>
                  <a:effectLst/>
                  <a:latin typeface="Cambria Math"/>
                  <a:ea typeface="+mn-ea"/>
                  <a:cs typeface="+mn-cs"/>
                </a:rPr>
                <a:t>+</a:t>
              </a:r>
              <a:r>
                <a:rPr lang="en-US" sz="1100" baseline="0">
                  <a:solidFill>
                    <a:schemeClr val="tx1"/>
                  </a:solidFill>
                  <a:effectLst/>
                  <a:latin typeface="+mn-lt"/>
                  <a:ea typeface="+mn-ea"/>
                  <a:cs typeface="+mn-cs"/>
                </a:rPr>
                <a:t> </a:t>
              </a:r>
              <a:r>
                <a:rPr lang="en-US" sz="1100" b="0" i="0">
                  <a:solidFill>
                    <a:schemeClr val="tx1"/>
                  </a:solidFill>
                  <a:effectLst/>
                  <a:latin typeface="Cambria Math"/>
                  <a:ea typeface="+mn-ea"/>
                  <a:cs typeface="+mn-cs"/>
                </a:rPr>
                <a:t>𝑖/𝑛</a:t>
              </a:r>
              <a:r>
                <a:rPr lang="en-US" sz="1100" b="0" i="0">
                  <a:solidFill>
                    <a:schemeClr val="tx1"/>
                  </a:solidFill>
                  <a:effectLst/>
                  <a:latin typeface="+mn-lt"/>
                  <a:ea typeface="+mn-ea"/>
                  <a:cs typeface="+mn-cs"/>
                </a:rPr>
                <a:t> </a:t>
              </a:r>
              <a:r>
                <a:rPr lang="en-US" sz="1100" b="0" i="0">
                  <a:solidFill>
                    <a:schemeClr val="tx1"/>
                  </a:solidFill>
                  <a:effectLst/>
                  <a:latin typeface="Cambria Math"/>
                  <a:ea typeface="+mn-ea"/>
                  <a:cs typeface="+mn-cs"/>
                </a:rPr>
                <a:t>"</a:t>
              </a:r>
              <a:r>
                <a:rPr lang="en-US" sz="1100" i="0">
                  <a:solidFill>
                    <a:schemeClr val="tx1"/>
                  </a:solidFill>
                  <a:effectLst/>
                  <a:latin typeface="Cambria Math"/>
                  <a:ea typeface="+mn-ea"/>
                  <a:cs typeface="+mn-cs"/>
                </a:rPr>
                <a:t> </a:t>
              </a:r>
              <a:r>
                <a:rPr lang="en-US" sz="1100" i="0">
                  <a:solidFill>
                    <a:schemeClr val="tx1"/>
                  </a:solidFill>
                  <a:effectLst/>
                  <a:latin typeface="+mn-lt"/>
                  <a:ea typeface="+mn-ea"/>
                  <a:cs typeface="+mn-cs"/>
                </a:rPr>
                <a:t>"</a:t>
              </a:r>
              <a:r>
                <a:rPr lang="en-US" sz="1100" baseline="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a:ea typeface="+mn-ea"/>
                  <a:cs typeface="+mn-cs"/>
                </a:rPr>
                <a:t>〖</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 𝐸𝐴𝑅+1)〗^(1/𝑛)  −1=</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b="0" i="0">
                  <a:solidFill>
                    <a:schemeClr val="tx1"/>
                  </a:solidFill>
                  <a:effectLst/>
                  <a:latin typeface="Cambria Math"/>
                  <a:ea typeface="+mn-ea"/>
                  <a:cs typeface="+mn-cs"/>
                </a:rPr>
                <a:t>𝑖/𝑛</a:t>
              </a:r>
              <a:r>
                <a:rPr lang="en-US" sz="1100" b="0" i="0">
                  <a:solidFill>
                    <a:schemeClr val="tx1"/>
                  </a:solidFill>
                  <a:effectLst/>
                  <a:latin typeface="+mn-lt"/>
                  <a:ea typeface="+mn-ea"/>
                  <a:cs typeface="+mn-cs"/>
                </a:rPr>
                <a:t> </a:t>
              </a:r>
              <a:r>
                <a:rPr lang="en-US" sz="1100" b="0" i="0">
                  <a:solidFill>
                    <a:schemeClr val="tx1"/>
                  </a:solidFill>
                  <a:effectLst/>
                  <a:latin typeface="Cambria Math"/>
                  <a:ea typeface="+mn-ea"/>
                  <a:cs typeface="+mn-cs"/>
                </a:rPr>
                <a:t>"</a:t>
              </a:r>
              <a:r>
                <a:rPr lang="en-US" sz="1100" i="0">
                  <a:solidFill>
                    <a:schemeClr val="tx1"/>
                  </a:solidFill>
                  <a:effectLst/>
                  <a:latin typeface="Cambria Math"/>
                  <a:ea typeface="+mn-ea"/>
                  <a:cs typeface="+mn-cs"/>
                </a:rPr>
                <a:t> </a:t>
              </a:r>
              <a:r>
                <a:rPr lang="en-US" sz="1100" i="0">
                  <a:solidFill>
                    <a:schemeClr val="tx1"/>
                  </a:solidFill>
                  <a:effectLst/>
                  <a:latin typeface="+mn-lt"/>
                  <a:ea typeface="+mn-ea"/>
                  <a:cs typeface="+mn-cs"/>
                </a:rPr>
                <a: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a:t>
              </a:r>
              <a:r>
                <a:rPr lang="en-US" sz="1100" b="0" i="0">
                  <a:solidFill>
                    <a:schemeClr val="tx1"/>
                  </a:solidFill>
                  <a:effectLst/>
                  <a:latin typeface="Cambria Math"/>
                  <a:ea typeface="+mn-ea"/>
                  <a:cs typeface="+mn-cs"/>
                </a:rPr>
                <a:t>〖</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 𝐸𝐴𝑅+1)〗^(1/𝑛)  −1)∗𝑛=</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b="0" i="0">
                  <a:solidFill>
                    <a:schemeClr val="tx1"/>
                  </a:solidFill>
                  <a:effectLst/>
                  <a:latin typeface="Cambria Math"/>
                  <a:ea typeface="+mn-ea"/>
                  <a:cs typeface="+mn-cs"/>
                </a:rPr>
                <a:t>𝑖"</a:t>
              </a:r>
              <a:r>
                <a:rPr lang="en-US" sz="1100" i="0">
                  <a:solidFill>
                    <a:schemeClr val="tx1"/>
                  </a:solidFill>
                  <a:effectLst/>
                  <a:latin typeface="Cambria Math"/>
                  <a:ea typeface="+mn-ea"/>
                  <a:cs typeface="+mn-cs"/>
                </a:rPr>
                <a:t> </a:t>
              </a:r>
              <a:r>
                <a:rPr lang="en-US" sz="1100" i="0">
                  <a:solidFill>
                    <a:schemeClr val="tx1"/>
                  </a:solidFill>
                  <a:effectLst/>
                  <a:latin typeface="+mn-lt"/>
                  <a:ea typeface="+mn-ea"/>
                  <a:cs typeface="+mn-cs"/>
                </a:rPr>
                <a: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5</xdr:col>
      <xdr:colOff>102478</xdr:colOff>
      <xdr:row>6</xdr:row>
      <xdr:rowOff>103037</xdr:rowOff>
    </xdr:from>
    <xdr:ext cx="2837792" cy="1649169"/>
    <mc:AlternateContent xmlns:mc="http://schemas.openxmlformats.org/markup-compatibility/2006">
      <mc:Choice xmlns:a14="http://schemas.microsoft.com/office/drawing/2010/main" Requires="a14">
        <xdr:sp macro="" textlink="">
          <xdr:nvSpPr>
            <xdr:cNvPr id="2" name="TextBox 1"/>
            <xdr:cNvSpPr txBox="1"/>
          </xdr:nvSpPr>
          <xdr:spPr>
            <a:xfrm>
              <a:off x="4967555" y="1374991"/>
              <a:ext cx="2837792" cy="1649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en-US" sz="1100" b="0" i="1">
                      <a:latin typeface="Cambria Math"/>
                    </a:rPr>
                    <m:t>𝐸𝐴𝑅</m:t>
                  </m:r>
                  <m:r>
                    <a:rPr lang="en-US" sz="1100" b="0" i="1">
                      <a:latin typeface="Cambria Math"/>
                    </a:rPr>
                    <m:t>=(1+ </m:t>
                  </m:r>
                  <m:f>
                    <m:fPr>
                      <m:ctrlPr>
                        <a:rPr lang="en-US" sz="1100" b="0" i="1">
                          <a:latin typeface="Cambria Math"/>
                        </a:rPr>
                      </m:ctrlPr>
                    </m:fPr>
                    <m:num>
                      <m:r>
                        <a:rPr lang="en-US" sz="1100" b="0" i="1">
                          <a:latin typeface="Cambria Math"/>
                        </a:rPr>
                        <m:t>𝐴𝑃𝑅</m:t>
                      </m:r>
                    </m:num>
                    <m:den>
                      <m:r>
                        <a:rPr lang="en-US" sz="1100" b="0" i="1">
                          <a:latin typeface="Cambria Math"/>
                        </a:rPr>
                        <m:t>𝑛</m:t>
                      </m:r>
                    </m:den>
                  </m:f>
                  <m:r>
                    <a:rPr lang="en-US" sz="1100" b="0" i="1">
                      <a:latin typeface="Cambria Math"/>
                    </a:rPr>
                    <m:t>)</m:t>
                  </m:r>
                </m:oMath>
              </a14:m>
              <a:r>
                <a:rPr lang="en-US" sz="1100"/>
                <a:t>^n - 1</a:t>
              </a:r>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100" b="0" i="1">
                      <a:solidFill>
                        <a:schemeClr val="tx1"/>
                      </a:solidFill>
                      <a:effectLst/>
                      <a:latin typeface="Cambria Math"/>
                      <a:ea typeface="+mn-ea"/>
                      <a:cs typeface="+mn-cs"/>
                    </a:rPr>
                    <m:t>0.08327757=(1+ </m:t>
                  </m:r>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𝐴𝑃𝑅</m:t>
                      </m:r>
                    </m:num>
                    <m:den>
                      <m:r>
                        <a:rPr lang="en-US" sz="1100" b="0" i="1">
                          <a:solidFill>
                            <a:schemeClr val="tx1"/>
                          </a:solidFill>
                          <a:effectLst/>
                          <a:latin typeface="Cambria Math"/>
                          <a:ea typeface="+mn-ea"/>
                          <a:cs typeface="+mn-cs"/>
                        </a:rPr>
                        <m:t>12</m:t>
                      </m:r>
                    </m:den>
                  </m:f>
                  <m:r>
                    <a:rPr lang="en-US" sz="1100" b="0" i="1">
                      <a:solidFill>
                        <a:schemeClr val="tx1"/>
                      </a:solidFill>
                      <a:effectLst/>
                      <a:latin typeface="Cambria Math"/>
                      <a:ea typeface="+mn-ea"/>
                      <a:cs typeface="+mn-cs"/>
                    </a:rPr>
                    <m:t>)</m:t>
                  </m:r>
                </m:oMath>
              </a14:m>
              <a:r>
                <a:rPr lang="en-US" sz="1100">
                  <a:solidFill>
                    <a:schemeClr val="tx1"/>
                  </a:solidFill>
                  <a:effectLst/>
                  <a:latin typeface="+mn-lt"/>
                  <a:ea typeface="+mn-ea"/>
                  <a:cs typeface="+mn-cs"/>
                </a:rPr>
                <a:t>^12 - 1</a:t>
              </a:r>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100" b="0" i="1">
                      <a:solidFill>
                        <a:schemeClr val="tx1"/>
                      </a:solidFill>
                      <a:effectLst/>
                      <a:latin typeface="+mn-lt"/>
                      <a:ea typeface="+mn-ea"/>
                      <a:cs typeface="+mn-cs"/>
                    </a:rPr>
                    <m:t>0.08327757</m:t>
                  </m:r>
                  <m:r>
                    <a:rPr lang="en-US" sz="1100" b="0" i="1">
                      <a:solidFill>
                        <a:schemeClr val="tx1"/>
                      </a:solidFill>
                      <a:effectLst/>
                      <a:latin typeface="Cambria Math"/>
                      <a:ea typeface="+mn-ea"/>
                      <a:cs typeface="+mn-cs"/>
                    </a:rPr>
                    <m:t>+1 </m:t>
                  </m:r>
                  <m:r>
                    <a:rPr lang="en-US" sz="1100" b="0" i="1">
                      <a:solidFill>
                        <a:schemeClr val="tx1"/>
                      </a:solidFill>
                      <a:effectLst/>
                      <a:latin typeface="+mn-lt"/>
                      <a:ea typeface="+mn-ea"/>
                      <a:cs typeface="+mn-cs"/>
                    </a:rPr>
                    <m:t>=(1+ </m:t>
                  </m:r>
                  <m:f>
                    <m:fPr>
                      <m:ctrlPr>
                        <a:rPr lang="en-US" sz="1100" b="0" i="1">
                          <a:solidFill>
                            <a:schemeClr val="tx1"/>
                          </a:solidFill>
                          <a:effectLst/>
                          <a:latin typeface="+mn-lt"/>
                          <a:ea typeface="+mn-ea"/>
                          <a:cs typeface="+mn-cs"/>
                        </a:rPr>
                      </m:ctrlPr>
                    </m:fPr>
                    <m:num>
                      <m:r>
                        <a:rPr lang="en-US" sz="1100" b="0" i="1">
                          <a:solidFill>
                            <a:schemeClr val="tx1"/>
                          </a:solidFill>
                          <a:effectLst/>
                          <a:latin typeface="+mn-lt"/>
                          <a:ea typeface="+mn-ea"/>
                          <a:cs typeface="+mn-cs"/>
                        </a:rPr>
                        <m:t>𝐴𝑃𝑅</m:t>
                      </m:r>
                    </m:num>
                    <m:den>
                      <m:r>
                        <a:rPr lang="en-US" sz="1100" b="0" i="1">
                          <a:solidFill>
                            <a:schemeClr val="tx1"/>
                          </a:solidFill>
                          <a:effectLst/>
                          <a:latin typeface="+mn-lt"/>
                          <a:ea typeface="+mn-ea"/>
                          <a:cs typeface="+mn-cs"/>
                        </a:rPr>
                        <m:t>12</m:t>
                      </m:r>
                    </m:den>
                  </m:f>
                  <m:r>
                    <a:rPr lang="en-US" sz="1100" b="0" i="1">
                      <a:solidFill>
                        <a:schemeClr val="tx1"/>
                      </a:solidFill>
                      <a:effectLst/>
                      <a:latin typeface="+mn-lt"/>
                      <a:ea typeface="+mn-ea"/>
                      <a:cs typeface="+mn-cs"/>
                    </a:rPr>
                    <m:t>)</m:t>
                  </m:r>
                </m:oMath>
              </a14:m>
              <a:r>
                <a:rPr lang="en-US" sz="1100">
                  <a:solidFill>
                    <a:schemeClr val="tx1"/>
                  </a:solidFill>
                  <a:effectLst/>
                  <a:latin typeface="+mn-lt"/>
                  <a:ea typeface="+mn-ea"/>
                  <a:cs typeface="+mn-cs"/>
                </a:rPr>
                <a:t>^12</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a:t>
              </a:r>
              <a14:m>
                <m:oMath xmlns:m="http://schemas.openxmlformats.org/officeDocument/2006/math">
                  <m:r>
                    <a:rPr lang="en-US" sz="1100" b="0" i="1">
                      <a:solidFill>
                        <a:schemeClr val="tx1"/>
                      </a:solidFill>
                      <a:effectLst/>
                      <a:latin typeface="+mn-lt"/>
                      <a:ea typeface="+mn-ea"/>
                      <a:cs typeface="+mn-cs"/>
                    </a:rPr>
                    <m:t>0.08327757+1</m:t>
                  </m:r>
                  <m:r>
                    <a:rPr lang="en-US" sz="1100" b="0" i="1" baseline="30000">
                      <a:solidFill>
                        <a:schemeClr val="tx1"/>
                      </a:solidFill>
                      <a:effectLst/>
                      <a:latin typeface="Cambria Math"/>
                      <a:ea typeface="+mn-ea"/>
                      <a:cs typeface="+mn-cs"/>
                    </a:rPr>
                    <m:t>)^(1/12)</m:t>
                  </m:r>
                  <m:r>
                    <a:rPr lang="en-US" sz="1100" b="0" i="1" baseline="30000">
                      <a:solidFill>
                        <a:schemeClr val="tx1"/>
                      </a:solidFill>
                      <a:effectLst/>
                      <a:latin typeface="+mn-lt"/>
                      <a:ea typeface="+mn-ea"/>
                      <a:cs typeface="+mn-cs"/>
                    </a:rPr>
                    <m:t> </m:t>
                  </m:r>
                  <m:r>
                    <a:rPr lang="en-US" sz="1100" b="0" i="1">
                      <a:solidFill>
                        <a:schemeClr val="tx1"/>
                      </a:solidFill>
                      <a:effectLst/>
                      <a:latin typeface="+mn-lt"/>
                      <a:ea typeface="+mn-ea"/>
                      <a:cs typeface="+mn-cs"/>
                    </a:rPr>
                    <m:t>=1+ </m:t>
                  </m:r>
                  <m:f>
                    <m:fPr>
                      <m:ctrlPr>
                        <a:rPr lang="en-US" sz="1100" b="0" i="1">
                          <a:solidFill>
                            <a:schemeClr val="tx1"/>
                          </a:solidFill>
                          <a:effectLst/>
                          <a:latin typeface="+mn-lt"/>
                          <a:ea typeface="+mn-ea"/>
                          <a:cs typeface="+mn-cs"/>
                        </a:rPr>
                      </m:ctrlPr>
                    </m:fPr>
                    <m:num>
                      <m:r>
                        <a:rPr lang="en-US" sz="1100" b="0" i="1">
                          <a:solidFill>
                            <a:schemeClr val="tx1"/>
                          </a:solidFill>
                          <a:effectLst/>
                          <a:latin typeface="+mn-lt"/>
                          <a:ea typeface="+mn-ea"/>
                          <a:cs typeface="+mn-cs"/>
                        </a:rPr>
                        <m:t>𝐴𝑃𝑅</m:t>
                      </m:r>
                    </m:num>
                    <m:den>
                      <m:r>
                        <a:rPr lang="en-US" sz="1100" b="0" i="1">
                          <a:solidFill>
                            <a:schemeClr val="tx1"/>
                          </a:solidFill>
                          <a:effectLst/>
                          <a:latin typeface="+mn-lt"/>
                          <a:ea typeface="+mn-ea"/>
                          <a:cs typeface="+mn-cs"/>
                        </a:rPr>
                        <m:t>12</m:t>
                      </m:r>
                    </m:den>
                  </m:f>
                </m:oMath>
              </a14:m>
              <a:endParaRPr lang="en-US">
                <a:effectLst/>
              </a:endParaRPr>
            </a:p>
            <a:p>
              <a:r>
                <a:rPr lang="en-US" sz="1100" b="0">
                  <a:solidFill>
                    <a:schemeClr val="tx1"/>
                  </a:solidFill>
                  <a:effectLst/>
                  <a:latin typeface="+mn-lt"/>
                  <a:ea typeface="+mn-ea"/>
                  <a:cs typeface="+mn-cs"/>
                </a:rPr>
                <a:t>(</a:t>
              </a:r>
              <a14:m>
                <m:oMath xmlns:m="http://schemas.openxmlformats.org/officeDocument/2006/math">
                  <m:r>
                    <a:rPr lang="en-US" sz="1100" b="0" i="1">
                      <a:solidFill>
                        <a:schemeClr val="tx1"/>
                      </a:solidFill>
                      <a:effectLst/>
                      <a:latin typeface="+mn-lt"/>
                      <a:ea typeface="+mn-ea"/>
                      <a:cs typeface="+mn-cs"/>
                    </a:rPr>
                    <m:t>0.08327757+1</m:t>
                  </m:r>
                  <m:r>
                    <a:rPr lang="en-US" sz="1100" b="0" i="1" baseline="30000">
                      <a:solidFill>
                        <a:schemeClr val="tx1"/>
                      </a:solidFill>
                      <a:effectLst/>
                      <a:latin typeface="+mn-lt"/>
                      <a:ea typeface="+mn-ea"/>
                      <a:cs typeface="+mn-cs"/>
                    </a:rPr>
                    <m:t>)^(1/12) </m:t>
                  </m:r>
                  <m:r>
                    <a:rPr lang="en-US" sz="1100" b="0" i="1">
                      <a:solidFill>
                        <a:schemeClr val="tx1"/>
                      </a:solidFill>
                      <a:effectLst/>
                      <a:latin typeface="Cambria Math"/>
                      <a:ea typeface="+mn-ea"/>
                      <a:cs typeface="+mn-cs"/>
                    </a:rPr>
                    <m:t>−1=</m:t>
                  </m:r>
                  <m:f>
                    <m:fPr>
                      <m:ctrlPr>
                        <a:rPr lang="en-US" sz="1100" b="0" i="1">
                          <a:solidFill>
                            <a:schemeClr val="tx1"/>
                          </a:solidFill>
                          <a:effectLst/>
                          <a:latin typeface="+mn-lt"/>
                          <a:ea typeface="+mn-ea"/>
                          <a:cs typeface="+mn-cs"/>
                        </a:rPr>
                      </m:ctrlPr>
                    </m:fPr>
                    <m:num>
                      <m:r>
                        <a:rPr lang="en-US" sz="1100" b="0" i="1">
                          <a:solidFill>
                            <a:schemeClr val="tx1"/>
                          </a:solidFill>
                          <a:effectLst/>
                          <a:latin typeface="+mn-lt"/>
                          <a:ea typeface="+mn-ea"/>
                          <a:cs typeface="+mn-cs"/>
                        </a:rPr>
                        <m:t>𝐴𝑃𝑅</m:t>
                      </m:r>
                    </m:num>
                    <m:den>
                      <m:r>
                        <a:rPr lang="en-US" sz="1100" b="0" i="1">
                          <a:solidFill>
                            <a:schemeClr val="tx1"/>
                          </a:solidFill>
                          <a:effectLst/>
                          <a:latin typeface="+mn-lt"/>
                          <a:ea typeface="+mn-ea"/>
                          <a:cs typeface="+mn-cs"/>
                        </a:rPr>
                        <m:t>12</m:t>
                      </m:r>
                    </m:den>
                  </m:f>
                </m:oMath>
              </a14:m>
              <a:endParaRPr lang="en-US" sz="1100"/>
            </a:p>
            <a:p>
              <a:r>
                <a:rPr lang="en-US" sz="1100" b="0">
                  <a:solidFill>
                    <a:schemeClr val="tx1"/>
                  </a:solidFill>
                  <a:effectLst/>
                  <a:latin typeface="+mn-lt"/>
                  <a:ea typeface="+mn-ea"/>
                  <a:cs typeface="+mn-cs"/>
                </a:rPr>
                <a:t>((</a:t>
              </a:r>
              <a14:m>
                <m:oMath xmlns:m="http://schemas.openxmlformats.org/officeDocument/2006/math">
                  <m:r>
                    <a:rPr lang="en-US" sz="1100" b="0" i="1">
                      <a:solidFill>
                        <a:schemeClr val="tx1"/>
                      </a:solidFill>
                      <a:effectLst/>
                      <a:latin typeface="+mn-lt"/>
                      <a:ea typeface="+mn-ea"/>
                      <a:cs typeface="+mn-cs"/>
                    </a:rPr>
                    <m:t>0.08327757+1</m:t>
                  </m:r>
                  <m:r>
                    <a:rPr lang="en-US" sz="1100" b="0" i="1" baseline="30000">
                      <a:solidFill>
                        <a:schemeClr val="tx1"/>
                      </a:solidFill>
                      <a:effectLst/>
                      <a:latin typeface="+mn-lt"/>
                      <a:ea typeface="+mn-ea"/>
                      <a:cs typeface="+mn-cs"/>
                    </a:rPr>
                    <m:t>)^(1/12) </m:t>
                  </m:r>
                  <m:r>
                    <a:rPr lang="en-US" sz="1100" b="0" i="1">
                      <a:solidFill>
                        <a:schemeClr val="tx1"/>
                      </a:solidFill>
                      <a:effectLst/>
                      <a:latin typeface="+mn-lt"/>
                      <a:ea typeface="+mn-ea"/>
                      <a:cs typeface="+mn-cs"/>
                    </a:rPr>
                    <m:t>−1</m:t>
                  </m:r>
                  <m:r>
                    <a:rPr lang="en-US" sz="1100" b="0" i="1">
                      <a:solidFill>
                        <a:schemeClr val="tx1"/>
                      </a:solidFill>
                      <a:effectLst/>
                      <a:latin typeface="Cambria Math"/>
                      <a:ea typeface="+mn-ea"/>
                      <a:cs typeface="+mn-cs"/>
                    </a:rPr>
                    <m:t>)∗12</m:t>
                  </m:r>
                  <m:r>
                    <a:rPr lang="en-US" sz="1100" b="0" i="1">
                      <a:solidFill>
                        <a:schemeClr val="tx1"/>
                      </a:solidFill>
                      <a:effectLst/>
                      <a:latin typeface="+mn-lt"/>
                      <a:ea typeface="+mn-ea"/>
                      <a:cs typeface="+mn-cs"/>
                    </a:rPr>
                    <m:t>=</m:t>
                  </m:r>
                  <m:r>
                    <a:rPr lang="en-US" sz="1100" b="0" i="1">
                      <a:solidFill>
                        <a:schemeClr val="tx1"/>
                      </a:solidFill>
                      <a:effectLst/>
                      <a:latin typeface="Cambria Math"/>
                      <a:ea typeface="+mn-ea"/>
                      <a:cs typeface="+mn-cs"/>
                    </a:rPr>
                    <m:t>𝐴𝑃𝑅</m:t>
                  </m:r>
                </m:oMath>
              </a14:m>
              <a:endParaRPr lang="en-US" sz="1100"/>
            </a:p>
            <a:p>
              <a:endParaRPr lang="en-US" sz="1100"/>
            </a:p>
          </xdr:txBody>
        </xdr:sp>
      </mc:Choice>
      <mc:Fallback>
        <xdr:sp macro="" textlink="">
          <xdr:nvSpPr>
            <xdr:cNvPr id="2" name="TextBox 1"/>
            <xdr:cNvSpPr txBox="1"/>
          </xdr:nvSpPr>
          <xdr:spPr>
            <a:xfrm>
              <a:off x="4967555" y="1374991"/>
              <a:ext cx="2837792" cy="1649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𝐸𝐴𝑅=(1+  𝐴𝑃𝑅/𝑛)</a:t>
              </a:r>
              <a:r>
                <a:rPr lang="en-US" sz="1100"/>
                <a:t>^n - 1</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a:ea typeface="+mn-ea"/>
                  <a:cs typeface="+mn-cs"/>
                </a:rPr>
                <a:t>0.08327757=(1+  𝐴𝑃𝑅/12)</a:t>
              </a:r>
              <a:r>
                <a:rPr lang="en-US" sz="1100">
                  <a:solidFill>
                    <a:schemeClr val="tx1"/>
                  </a:solidFill>
                  <a:effectLst/>
                  <a:latin typeface="+mn-lt"/>
                  <a:ea typeface="+mn-ea"/>
                  <a:cs typeface="+mn-cs"/>
                </a:rPr>
                <a:t>^12 - 1</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0.08327757</a:t>
              </a:r>
              <a:r>
                <a:rPr lang="en-US" sz="1100" b="0" i="0">
                  <a:solidFill>
                    <a:schemeClr val="tx1"/>
                  </a:solidFill>
                  <a:effectLst/>
                  <a:latin typeface="Cambria Math"/>
                  <a:ea typeface="+mn-ea"/>
                  <a:cs typeface="+mn-cs"/>
                </a:rPr>
                <a:t>+1 </a:t>
              </a:r>
              <a:r>
                <a:rPr lang="en-US" sz="1100" b="0" i="0">
                  <a:solidFill>
                    <a:schemeClr val="tx1"/>
                  </a:solidFill>
                  <a:effectLst/>
                  <a:latin typeface="+mn-lt"/>
                  <a:ea typeface="+mn-ea"/>
                  <a:cs typeface="+mn-cs"/>
                </a:rPr>
                <a:t>=(1+  𝐴𝑃𝑅/12)</a:t>
              </a:r>
              <a:r>
                <a:rPr lang="en-US" sz="1100">
                  <a:solidFill>
                    <a:schemeClr val="tx1"/>
                  </a:solidFill>
                  <a:effectLst/>
                  <a:latin typeface="+mn-lt"/>
                  <a:ea typeface="+mn-ea"/>
                  <a:cs typeface="+mn-cs"/>
                </a:rPr>
                <a:t>^12</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a:t>
              </a:r>
              <a:r>
                <a:rPr lang="en-US" sz="1100" b="0" i="0">
                  <a:solidFill>
                    <a:schemeClr val="tx1"/>
                  </a:solidFill>
                  <a:effectLst/>
                  <a:latin typeface="+mn-lt"/>
                  <a:ea typeface="+mn-ea"/>
                  <a:cs typeface="+mn-cs"/>
                </a:rPr>
                <a:t>0.08327757+1</a:t>
              </a:r>
              <a:r>
                <a:rPr lang="en-US" sz="1100" b="0" i="0" baseline="30000">
                  <a:solidFill>
                    <a:schemeClr val="tx1"/>
                  </a:solidFill>
                  <a:effectLst/>
                  <a:latin typeface="Cambria Math"/>
                  <a:ea typeface="+mn-ea"/>
                  <a:cs typeface="+mn-cs"/>
                </a:rPr>
                <a:t>)^(1/12)</a:t>
              </a:r>
              <a:r>
                <a:rPr lang="en-US" sz="1100" b="0" i="0" baseline="30000">
                  <a:solidFill>
                    <a:schemeClr val="tx1"/>
                  </a:solidFill>
                  <a:effectLst/>
                  <a:latin typeface="+mn-lt"/>
                  <a:ea typeface="+mn-ea"/>
                  <a:cs typeface="+mn-cs"/>
                </a:rPr>
                <a:t> </a:t>
              </a:r>
              <a:r>
                <a:rPr lang="en-US" sz="1100" b="0" i="0">
                  <a:solidFill>
                    <a:schemeClr val="tx1"/>
                  </a:solidFill>
                  <a:effectLst/>
                  <a:latin typeface="+mn-lt"/>
                  <a:ea typeface="+mn-ea"/>
                  <a:cs typeface="+mn-cs"/>
                </a:rPr>
                <a:t>=1+  𝐴𝑃𝑅/12</a:t>
              </a:r>
              <a:endParaRPr lang="en-US">
                <a:effectLst/>
              </a:endParaRPr>
            </a:p>
            <a:p>
              <a:r>
                <a:rPr lang="en-US" sz="1100" b="0">
                  <a:solidFill>
                    <a:schemeClr val="tx1"/>
                  </a:solidFill>
                  <a:effectLst/>
                  <a:latin typeface="+mn-lt"/>
                  <a:ea typeface="+mn-ea"/>
                  <a:cs typeface="+mn-cs"/>
                </a:rPr>
                <a:t>(</a:t>
              </a:r>
              <a:r>
                <a:rPr lang="en-US" sz="1100" b="0" i="0">
                  <a:solidFill>
                    <a:schemeClr val="tx1"/>
                  </a:solidFill>
                  <a:effectLst/>
                  <a:latin typeface="+mn-lt"/>
                  <a:ea typeface="+mn-ea"/>
                  <a:cs typeface="+mn-cs"/>
                </a:rPr>
                <a:t>0.08327757+1</a:t>
              </a:r>
              <a:r>
                <a:rPr lang="en-US" sz="1100" b="0" i="0" baseline="30000">
                  <a:solidFill>
                    <a:schemeClr val="tx1"/>
                  </a:solidFill>
                  <a:effectLst/>
                  <a:latin typeface="+mn-lt"/>
                  <a:ea typeface="+mn-ea"/>
                  <a:cs typeface="+mn-cs"/>
                </a:rPr>
                <a:t>)^(1/12) </a:t>
              </a:r>
              <a:r>
                <a:rPr lang="en-US" sz="1100" b="0" i="0">
                  <a:solidFill>
                    <a:schemeClr val="tx1"/>
                  </a:solidFill>
                  <a:effectLst/>
                  <a:latin typeface="Cambria Math"/>
                  <a:ea typeface="+mn-ea"/>
                  <a:cs typeface="+mn-cs"/>
                </a:rPr>
                <a:t>−1=</a:t>
              </a:r>
              <a:r>
                <a:rPr lang="en-US" sz="1100" b="0" i="0">
                  <a:solidFill>
                    <a:schemeClr val="tx1"/>
                  </a:solidFill>
                  <a:effectLst/>
                  <a:latin typeface="+mn-lt"/>
                  <a:ea typeface="+mn-ea"/>
                  <a:cs typeface="+mn-cs"/>
                </a:rPr>
                <a:t>𝐴𝑃𝑅/12</a:t>
              </a:r>
              <a:endParaRPr lang="en-US" sz="1100"/>
            </a:p>
            <a:p>
              <a:r>
                <a:rPr lang="en-US" sz="1100" b="0">
                  <a:solidFill>
                    <a:schemeClr val="tx1"/>
                  </a:solidFill>
                  <a:effectLst/>
                  <a:latin typeface="+mn-lt"/>
                  <a:ea typeface="+mn-ea"/>
                  <a:cs typeface="+mn-cs"/>
                </a:rPr>
                <a:t>((</a:t>
              </a:r>
              <a:r>
                <a:rPr lang="en-US" sz="1100" b="0" i="0">
                  <a:solidFill>
                    <a:schemeClr val="tx1"/>
                  </a:solidFill>
                  <a:effectLst/>
                  <a:latin typeface="+mn-lt"/>
                  <a:ea typeface="+mn-ea"/>
                  <a:cs typeface="+mn-cs"/>
                </a:rPr>
                <a:t>0.08327757+1</a:t>
              </a:r>
              <a:r>
                <a:rPr lang="en-US" sz="1100" b="0" i="0" baseline="30000">
                  <a:solidFill>
                    <a:schemeClr val="tx1"/>
                  </a:solidFill>
                  <a:effectLst/>
                  <a:latin typeface="+mn-lt"/>
                  <a:ea typeface="+mn-ea"/>
                  <a:cs typeface="+mn-cs"/>
                </a:rPr>
                <a:t>)^(1/12) </a:t>
              </a:r>
              <a:r>
                <a:rPr lang="en-US" sz="1100" b="0" i="0">
                  <a:solidFill>
                    <a:schemeClr val="tx1"/>
                  </a:solidFill>
                  <a:effectLst/>
                  <a:latin typeface="+mn-lt"/>
                  <a:ea typeface="+mn-ea"/>
                  <a:cs typeface="+mn-cs"/>
                </a:rPr>
                <a:t>−1</a:t>
              </a:r>
              <a:r>
                <a:rPr lang="en-US" sz="1100" b="0" i="0">
                  <a:solidFill>
                    <a:schemeClr val="tx1"/>
                  </a:solidFill>
                  <a:effectLst/>
                  <a:latin typeface="Cambria Math"/>
                  <a:ea typeface="+mn-ea"/>
                  <a:cs typeface="+mn-cs"/>
                </a:rPr>
                <a:t>)∗12</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𝐴𝑃𝑅</a:t>
              </a:r>
              <a:endParaRPr lang="en-US" sz="1100"/>
            </a:p>
            <a:p>
              <a:endParaRPr lang="en-US" sz="11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oneCellAnchor>
    <xdr:from>
      <xdr:col>5</xdr:col>
      <xdr:colOff>102478</xdr:colOff>
      <xdr:row>6</xdr:row>
      <xdr:rowOff>103037</xdr:rowOff>
    </xdr:from>
    <xdr:ext cx="2837792" cy="1649169"/>
    <mc:AlternateContent xmlns:mc="http://schemas.openxmlformats.org/markup-compatibility/2006">
      <mc:Choice xmlns:a14="http://schemas.microsoft.com/office/drawing/2010/main" Requires="a14">
        <xdr:sp macro="" textlink="">
          <xdr:nvSpPr>
            <xdr:cNvPr id="2" name="TextBox 1"/>
            <xdr:cNvSpPr txBox="1"/>
          </xdr:nvSpPr>
          <xdr:spPr>
            <a:xfrm>
              <a:off x="4971658" y="1383197"/>
              <a:ext cx="2837792" cy="1649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en-US" sz="1100" b="0" i="1">
                      <a:latin typeface="Cambria Math"/>
                    </a:rPr>
                    <m:t>𝐸𝐴𝑅</m:t>
                  </m:r>
                  <m:r>
                    <a:rPr lang="en-US" sz="1100" b="0" i="1">
                      <a:latin typeface="Cambria Math"/>
                    </a:rPr>
                    <m:t>=(1+ </m:t>
                  </m:r>
                  <m:f>
                    <m:fPr>
                      <m:ctrlPr>
                        <a:rPr lang="en-US" sz="1100" b="0" i="1">
                          <a:latin typeface="Cambria Math"/>
                        </a:rPr>
                      </m:ctrlPr>
                    </m:fPr>
                    <m:num>
                      <m:r>
                        <a:rPr lang="en-US" sz="1100" b="0" i="1">
                          <a:latin typeface="Cambria Math"/>
                        </a:rPr>
                        <m:t>𝐴𝑃𝑅</m:t>
                      </m:r>
                    </m:num>
                    <m:den>
                      <m:r>
                        <a:rPr lang="en-US" sz="1100" b="0" i="1">
                          <a:latin typeface="Cambria Math"/>
                        </a:rPr>
                        <m:t>𝑛</m:t>
                      </m:r>
                    </m:den>
                  </m:f>
                  <m:r>
                    <a:rPr lang="en-US" sz="1100" b="0" i="1">
                      <a:latin typeface="Cambria Math"/>
                    </a:rPr>
                    <m:t>)</m:t>
                  </m:r>
                </m:oMath>
              </a14:m>
              <a:r>
                <a:rPr lang="en-US" sz="1100"/>
                <a:t>^n - 1</a:t>
              </a:r>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100" b="0" i="1">
                      <a:solidFill>
                        <a:schemeClr val="tx1"/>
                      </a:solidFill>
                      <a:effectLst/>
                      <a:latin typeface="Cambria Math"/>
                      <a:ea typeface="+mn-ea"/>
                      <a:cs typeface="+mn-cs"/>
                    </a:rPr>
                    <m:t>0.08327757=(1+ </m:t>
                  </m:r>
                  <m:f>
                    <m:fPr>
                      <m:ctrlPr>
                        <a:rPr lang="en-US" sz="1100" b="0" i="1">
                          <a:solidFill>
                            <a:schemeClr val="tx1"/>
                          </a:solidFill>
                          <a:effectLst/>
                          <a:latin typeface="Cambria Math"/>
                          <a:ea typeface="+mn-ea"/>
                          <a:cs typeface="+mn-cs"/>
                        </a:rPr>
                      </m:ctrlPr>
                    </m:fPr>
                    <m:num>
                      <m:r>
                        <a:rPr lang="en-US" sz="1100" b="0" i="1">
                          <a:solidFill>
                            <a:schemeClr val="tx1"/>
                          </a:solidFill>
                          <a:effectLst/>
                          <a:latin typeface="Cambria Math"/>
                          <a:ea typeface="+mn-ea"/>
                          <a:cs typeface="+mn-cs"/>
                        </a:rPr>
                        <m:t>𝐴𝑃𝑅</m:t>
                      </m:r>
                    </m:num>
                    <m:den>
                      <m:r>
                        <a:rPr lang="en-US" sz="1100" b="0" i="1">
                          <a:solidFill>
                            <a:schemeClr val="tx1"/>
                          </a:solidFill>
                          <a:effectLst/>
                          <a:latin typeface="Cambria Math"/>
                          <a:ea typeface="+mn-ea"/>
                          <a:cs typeface="+mn-cs"/>
                        </a:rPr>
                        <m:t>12</m:t>
                      </m:r>
                    </m:den>
                  </m:f>
                  <m:r>
                    <a:rPr lang="en-US" sz="1100" b="0" i="1">
                      <a:solidFill>
                        <a:schemeClr val="tx1"/>
                      </a:solidFill>
                      <a:effectLst/>
                      <a:latin typeface="Cambria Math"/>
                      <a:ea typeface="+mn-ea"/>
                      <a:cs typeface="+mn-cs"/>
                    </a:rPr>
                    <m:t>)</m:t>
                  </m:r>
                </m:oMath>
              </a14:m>
              <a:r>
                <a:rPr lang="en-US" sz="1100">
                  <a:solidFill>
                    <a:schemeClr val="tx1"/>
                  </a:solidFill>
                  <a:effectLst/>
                  <a:latin typeface="+mn-lt"/>
                  <a:ea typeface="+mn-ea"/>
                  <a:cs typeface="+mn-cs"/>
                </a:rPr>
                <a:t>^12 - 1</a:t>
              </a:r>
            </a:p>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n-US" sz="1100" b="0" i="1">
                      <a:solidFill>
                        <a:schemeClr val="tx1"/>
                      </a:solidFill>
                      <a:effectLst/>
                      <a:latin typeface="+mn-lt"/>
                      <a:ea typeface="+mn-ea"/>
                      <a:cs typeface="+mn-cs"/>
                    </a:rPr>
                    <m:t>0.08327757</m:t>
                  </m:r>
                  <m:r>
                    <a:rPr lang="en-US" sz="1100" b="0" i="1">
                      <a:solidFill>
                        <a:schemeClr val="tx1"/>
                      </a:solidFill>
                      <a:effectLst/>
                      <a:latin typeface="Cambria Math"/>
                      <a:ea typeface="+mn-ea"/>
                      <a:cs typeface="+mn-cs"/>
                    </a:rPr>
                    <m:t>+1 </m:t>
                  </m:r>
                  <m:r>
                    <a:rPr lang="en-US" sz="1100" b="0" i="1">
                      <a:solidFill>
                        <a:schemeClr val="tx1"/>
                      </a:solidFill>
                      <a:effectLst/>
                      <a:latin typeface="+mn-lt"/>
                      <a:ea typeface="+mn-ea"/>
                      <a:cs typeface="+mn-cs"/>
                    </a:rPr>
                    <m:t>=(1+ </m:t>
                  </m:r>
                  <m:f>
                    <m:fPr>
                      <m:ctrlPr>
                        <a:rPr lang="en-US" sz="1100" b="0" i="1">
                          <a:solidFill>
                            <a:schemeClr val="tx1"/>
                          </a:solidFill>
                          <a:effectLst/>
                          <a:latin typeface="+mn-lt"/>
                          <a:ea typeface="+mn-ea"/>
                          <a:cs typeface="+mn-cs"/>
                        </a:rPr>
                      </m:ctrlPr>
                    </m:fPr>
                    <m:num>
                      <m:r>
                        <a:rPr lang="en-US" sz="1100" b="0" i="1">
                          <a:solidFill>
                            <a:schemeClr val="tx1"/>
                          </a:solidFill>
                          <a:effectLst/>
                          <a:latin typeface="+mn-lt"/>
                          <a:ea typeface="+mn-ea"/>
                          <a:cs typeface="+mn-cs"/>
                        </a:rPr>
                        <m:t>𝐴𝑃𝑅</m:t>
                      </m:r>
                    </m:num>
                    <m:den>
                      <m:r>
                        <a:rPr lang="en-US" sz="1100" b="0" i="1">
                          <a:solidFill>
                            <a:schemeClr val="tx1"/>
                          </a:solidFill>
                          <a:effectLst/>
                          <a:latin typeface="+mn-lt"/>
                          <a:ea typeface="+mn-ea"/>
                          <a:cs typeface="+mn-cs"/>
                        </a:rPr>
                        <m:t>12</m:t>
                      </m:r>
                    </m:den>
                  </m:f>
                  <m:r>
                    <a:rPr lang="en-US" sz="1100" b="0" i="1">
                      <a:solidFill>
                        <a:schemeClr val="tx1"/>
                      </a:solidFill>
                      <a:effectLst/>
                      <a:latin typeface="+mn-lt"/>
                      <a:ea typeface="+mn-ea"/>
                      <a:cs typeface="+mn-cs"/>
                    </a:rPr>
                    <m:t>)</m:t>
                  </m:r>
                </m:oMath>
              </a14:m>
              <a:r>
                <a:rPr lang="en-US" sz="1100">
                  <a:solidFill>
                    <a:schemeClr val="tx1"/>
                  </a:solidFill>
                  <a:effectLst/>
                  <a:latin typeface="+mn-lt"/>
                  <a:ea typeface="+mn-ea"/>
                  <a:cs typeface="+mn-cs"/>
                </a:rPr>
                <a:t>^12</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a:t>
              </a:r>
              <a14:m>
                <m:oMath xmlns:m="http://schemas.openxmlformats.org/officeDocument/2006/math">
                  <m:r>
                    <a:rPr lang="en-US" sz="1100" b="0" i="1">
                      <a:solidFill>
                        <a:schemeClr val="tx1"/>
                      </a:solidFill>
                      <a:effectLst/>
                      <a:latin typeface="+mn-lt"/>
                      <a:ea typeface="+mn-ea"/>
                      <a:cs typeface="+mn-cs"/>
                    </a:rPr>
                    <m:t>0.08327757+1</m:t>
                  </m:r>
                  <m:r>
                    <a:rPr lang="en-US" sz="1100" b="0" i="1" baseline="30000">
                      <a:solidFill>
                        <a:schemeClr val="tx1"/>
                      </a:solidFill>
                      <a:effectLst/>
                      <a:latin typeface="Cambria Math"/>
                      <a:ea typeface="+mn-ea"/>
                      <a:cs typeface="+mn-cs"/>
                    </a:rPr>
                    <m:t>)^(1/12)</m:t>
                  </m:r>
                  <m:r>
                    <a:rPr lang="en-US" sz="1100" b="0" i="1" baseline="30000">
                      <a:solidFill>
                        <a:schemeClr val="tx1"/>
                      </a:solidFill>
                      <a:effectLst/>
                      <a:latin typeface="+mn-lt"/>
                      <a:ea typeface="+mn-ea"/>
                      <a:cs typeface="+mn-cs"/>
                    </a:rPr>
                    <m:t> </m:t>
                  </m:r>
                  <m:r>
                    <a:rPr lang="en-US" sz="1100" b="0" i="1">
                      <a:solidFill>
                        <a:schemeClr val="tx1"/>
                      </a:solidFill>
                      <a:effectLst/>
                      <a:latin typeface="+mn-lt"/>
                      <a:ea typeface="+mn-ea"/>
                      <a:cs typeface="+mn-cs"/>
                    </a:rPr>
                    <m:t>=1+ </m:t>
                  </m:r>
                  <m:f>
                    <m:fPr>
                      <m:ctrlPr>
                        <a:rPr lang="en-US" sz="1100" b="0" i="1">
                          <a:solidFill>
                            <a:schemeClr val="tx1"/>
                          </a:solidFill>
                          <a:effectLst/>
                          <a:latin typeface="+mn-lt"/>
                          <a:ea typeface="+mn-ea"/>
                          <a:cs typeface="+mn-cs"/>
                        </a:rPr>
                      </m:ctrlPr>
                    </m:fPr>
                    <m:num>
                      <m:r>
                        <a:rPr lang="en-US" sz="1100" b="0" i="1">
                          <a:solidFill>
                            <a:schemeClr val="tx1"/>
                          </a:solidFill>
                          <a:effectLst/>
                          <a:latin typeface="+mn-lt"/>
                          <a:ea typeface="+mn-ea"/>
                          <a:cs typeface="+mn-cs"/>
                        </a:rPr>
                        <m:t>𝐴𝑃𝑅</m:t>
                      </m:r>
                    </m:num>
                    <m:den>
                      <m:r>
                        <a:rPr lang="en-US" sz="1100" b="0" i="1">
                          <a:solidFill>
                            <a:schemeClr val="tx1"/>
                          </a:solidFill>
                          <a:effectLst/>
                          <a:latin typeface="+mn-lt"/>
                          <a:ea typeface="+mn-ea"/>
                          <a:cs typeface="+mn-cs"/>
                        </a:rPr>
                        <m:t>12</m:t>
                      </m:r>
                    </m:den>
                  </m:f>
                </m:oMath>
              </a14:m>
              <a:endParaRPr lang="en-US">
                <a:effectLst/>
              </a:endParaRPr>
            </a:p>
            <a:p>
              <a:r>
                <a:rPr lang="en-US" sz="1100" b="0">
                  <a:solidFill>
                    <a:schemeClr val="tx1"/>
                  </a:solidFill>
                  <a:effectLst/>
                  <a:latin typeface="+mn-lt"/>
                  <a:ea typeface="+mn-ea"/>
                  <a:cs typeface="+mn-cs"/>
                </a:rPr>
                <a:t>(</a:t>
              </a:r>
              <a14:m>
                <m:oMath xmlns:m="http://schemas.openxmlformats.org/officeDocument/2006/math">
                  <m:r>
                    <a:rPr lang="en-US" sz="1100" b="0" i="1">
                      <a:solidFill>
                        <a:schemeClr val="tx1"/>
                      </a:solidFill>
                      <a:effectLst/>
                      <a:latin typeface="+mn-lt"/>
                      <a:ea typeface="+mn-ea"/>
                      <a:cs typeface="+mn-cs"/>
                    </a:rPr>
                    <m:t>0.08327757+1</m:t>
                  </m:r>
                  <m:r>
                    <a:rPr lang="en-US" sz="1100" b="0" i="1" baseline="30000">
                      <a:solidFill>
                        <a:schemeClr val="tx1"/>
                      </a:solidFill>
                      <a:effectLst/>
                      <a:latin typeface="+mn-lt"/>
                      <a:ea typeface="+mn-ea"/>
                      <a:cs typeface="+mn-cs"/>
                    </a:rPr>
                    <m:t>)^(1/12) </m:t>
                  </m:r>
                  <m:r>
                    <a:rPr lang="en-US" sz="1100" b="0" i="1">
                      <a:solidFill>
                        <a:schemeClr val="tx1"/>
                      </a:solidFill>
                      <a:effectLst/>
                      <a:latin typeface="Cambria Math"/>
                      <a:ea typeface="+mn-ea"/>
                      <a:cs typeface="+mn-cs"/>
                    </a:rPr>
                    <m:t>−1=</m:t>
                  </m:r>
                  <m:f>
                    <m:fPr>
                      <m:ctrlPr>
                        <a:rPr lang="en-US" sz="1100" b="0" i="1">
                          <a:solidFill>
                            <a:schemeClr val="tx1"/>
                          </a:solidFill>
                          <a:effectLst/>
                          <a:latin typeface="+mn-lt"/>
                          <a:ea typeface="+mn-ea"/>
                          <a:cs typeface="+mn-cs"/>
                        </a:rPr>
                      </m:ctrlPr>
                    </m:fPr>
                    <m:num>
                      <m:r>
                        <a:rPr lang="en-US" sz="1100" b="0" i="1">
                          <a:solidFill>
                            <a:schemeClr val="tx1"/>
                          </a:solidFill>
                          <a:effectLst/>
                          <a:latin typeface="+mn-lt"/>
                          <a:ea typeface="+mn-ea"/>
                          <a:cs typeface="+mn-cs"/>
                        </a:rPr>
                        <m:t>𝐴𝑃𝑅</m:t>
                      </m:r>
                    </m:num>
                    <m:den>
                      <m:r>
                        <a:rPr lang="en-US" sz="1100" b="0" i="1">
                          <a:solidFill>
                            <a:schemeClr val="tx1"/>
                          </a:solidFill>
                          <a:effectLst/>
                          <a:latin typeface="+mn-lt"/>
                          <a:ea typeface="+mn-ea"/>
                          <a:cs typeface="+mn-cs"/>
                        </a:rPr>
                        <m:t>12</m:t>
                      </m:r>
                    </m:den>
                  </m:f>
                </m:oMath>
              </a14:m>
              <a:endParaRPr lang="en-US" sz="1100"/>
            </a:p>
            <a:p>
              <a:r>
                <a:rPr lang="en-US" sz="1100" b="0">
                  <a:solidFill>
                    <a:schemeClr val="tx1"/>
                  </a:solidFill>
                  <a:effectLst/>
                  <a:latin typeface="+mn-lt"/>
                  <a:ea typeface="+mn-ea"/>
                  <a:cs typeface="+mn-cs"/>
                </a:rPr>
                <a:t>((</a:t>
              </a:r>
              <a14:m>
                <m:oMath xmlns:m="http://schemas.openxmlformats.org/officeDocument/2006/math">
                  <m:r>
                    <a:rPr lang="en-US" sz="1100" b="0" i="1">
                      <a:solidFill>
                        <a:schemeClr val="tx1"/>
                      </a:solidFill>
                      <a:effectLst/>
                      <a:latin typeface="+mn-lt"/>
                      <a:ea typeface="+mn-ea"/>
                      <a:cs typeface="+mn-cs"/>
                    </a:rPr>
                    <m:t>0.08327757+1</m:t>
                  </m:r>
                  <m:r>
                    <a:rPr lang="en-US" sz="1100" b="0" i="1" baseline="30000">
                      <a:solidFill>
                        <a:schemeClr val="tx1"/>
                      </a:solidFill>
                      <a:effectLst/>
                      <a:latin typeface="+mn-lt"/>
                      <a:ea typeface="+mn-ea"/>
                      <a:cs typeface="+mn-cs"/>
                    </a:rPr>
                    <m:t>)^(1/12) </m:t>
                  </m:r>
                  <m:r>
                    <a:rPr lang="en-US" sz="1100" b="0" i="1">
                      <a:solidFill>
                        <a:schemeClr val="tx1"/>
                      </a:solidFill>
                      <a:effectLst/>
                      <a:latin typeface="+mn-lt"/>
                      <a:ea typeface="+mn-ea"/>
                      <a:cs typeface="+mn-cs"/>
                    </a:rPr>
                    <m:t>−1</m:t>
                  </m:r>
                  <m:r>
                    <a:rPr lang="en-US" sz="1100" b="0" i="1">
                      <a:solidFill>
                        <a:schemeClr val="tx1"/>
                      </a:solidFill>
                      <a:effectLst/>
                      <a:latin typeface="Cambria Math"/>
                      <a:ea typeface="+mn-ea"/>
                      <a:cs typeface="+mn-cs"/>
                    </a:rPr>
                    <m:t>)∗12</m:t>
                  </m:r>
                  <m:r>
                    <a:rPr lang="en-US" sz="1100" b="0" i="1">
                      <a:solidFill>
                        <a:schemeClr val="tx1"/>
                      </a:solidFill>
                      <a:effectLst/>
                      <a:latin typeface="+mn-lt"/>
                      <a:ea typeface="+mn-ea"/>
                      <a:cs typeface="+mn-cs"/>
                    </a:rPr>
                    <m:t>=</m:t>
                  </m:r>
                  <m:r>
                    <a:rPr lang="en-US" sz="1100" b="0" i="1">
                      <a:solidFill>
                        <a:schemeClr val="tx1"/>
                      </a:solidFill>
                      <a:effectLst/>
                      <a:latin typeface="Cambria Math"/>
                      <a:ea typeface="+mn-ea"/>
                      <a:cs typeface="+mn-cs"/>
                    </a:rPr>
                    <m:t>𝐴𝑃𝑅</m:t>
                  </m:r>
                </m:oMath>
              </a14:m>
              <a:endParaRPr lang="en-US" sz="1100"/>
            </a:p>
            <a:p>
              <a:endParaRPr lang="en-US" sz="1100"/>
            </a:p>
          </xdr:txBody>
        </xdr:sp>
      </mc:Choice>
      <mc:Fallback>
        <xdr:sp macro="" textlink="">
          <xdr:nvSpPr>
            <xdr:cNvPr id="2" name="TextBox 1"/>
            <xdr:cNvSpPr txBox="1"/>
          </xdr:nvSpPr>
          <xdr:spPr>
            <a:xfrm>
              <a:off x="4971658" y="1383197"/>
              <a:ext cx="2837792" cy="1649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𝐸𝐴𝑅=(1+  𝐴𝑃𝑅/𝑛)</a:t>
              </a:r>
              <a:r>
                <a:rPr lang="en-US" sz="1100"/>
                <a:t>^n - 1</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a:ea typeface="+mn-ea"/>
                  <a:cs typeface="+mn-cs"/>
                </a:rPr>
                <a:t>0.08327757=(1+  𝐴𝑃𝑅/12)</a:t>
              </a:r>
              <a:r>
                <a:rPr lang="en-US" sz="1100">
                  <a:solidFill>
                    <a:schemeClr val="tx1"/>
                  </a:solidFill>
                  <a:effectLst/>
                  <a:latin typeface="+mn-lt"/>
                  <a:ea typeface="+mn-ea"/>
                  <a:cs typeface="+mn-cs"/>
                </a:rPr>
                <a:t>^12 - 1</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0.08327757</a:t>
              </a:r>
              <a:r>
                <a:rPr lang="en-US" sz="1100" b="0" i="0">
                  <a:solidFill>
                    <a:schemeClr val="tx1"/>
                  </a:solidFill>
                  <a:effectLst/>
                  <a:latin typeface="Cambria Math"/>
                  <a:ea typeface="+mn-ea"/>
                  <a:cs typeface="+mn-cs"/>
                </a:rPr>
                <a:t>+1 </a:t>
              </a:r>
              <a:r>
                <a:rPr lang="en-US" sz="1100" b="0" i="0">
                  <a:solidFill>
                    <a:schemeClr val="tx1"/>
                  </a:solidFill>
                  <a:effectLst/>
                  <a:latin typeface="+mn-lt"/>
                  <a:ea typeface="+mn-ea"/>
                  <a:cs typeface="+mn-cs"/>
                </a:rPr>
                <a:t>=(1+  𝐴𝑃𝑅/12)</a:t>
              </a:r>
              <a:r>
                <a:rPr lang="en-US" sz="1100">
                  <a:solidFill>
                    <a:schemeClr val="tx1"/>
                  </a:solidFill>
                  <a:effectLst/>
                  <a:latin typeface="+mn-lt"/>
                  <a:ea typeface="+mn-ea"/>
                  <a:cs typeface="+mn-cs"/>
                </a:rPr>
                <a:t>^12</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a:t>
              </a:r>
              <a:r>
                <a:rPr lang="en-US" sz="1100" b="0" i="0">
                  <a:solidFill>
                    <a:schemeClr val="tx1"/>
                  </a:solidFill>
                  <a:effectLst/>
                  <a:latin typeface="+mn-lt"/>
                  <a:ea typeface="+mn-ea"/>
                  <a:cs typeface="+mn-cs"/>
                </a:rPr>
                <a:t>0.08327757+1</a:t>
              </a:r>
              <a:r>
                <a:rPr lang="en-US" sz="1100" b="0" i="0" baseline="30000">
                  <a:solidFill>
                    <a:schemeClr val="tx1"/>
                  </a:solidFill>
                  <a:effectLst/>
                  <a:latin typeface="Cambria Math"/>
                  <a:ea typeface="+mn-ea"/>
                  <a:cs typeface="+mn-cs"/>
                </a:rPr>
                <a:t>)^(1/12)</a:t>
              </a:r>
              <a:r>
                <a:rPr lang="en-US" sz="1100" b="0" i="0" baseline="30000">
                  <a:solidFill>
                    <a:schemeClr val="tx1"/>
                  </a:solidFill>
                  <a:effectLst/>
                  <a:latin typeface="+mn-lt"/>
                  <a:ea typeface="+mn-ea"/>
                  <a:cs typeface="+mn-cs"/>
                </a:rPr>
                <a:t> </a:t>
              </a:r>
              <a:r>
                <a:rPr lang="en-US" sz="1100" b="0" i="0">
                  <a:solidFill>
                    <a:schemeClr val="tx1"/>
                  </a:solidFill>
                  <a:effectLst/>
                  <a:latin typeface="+mn-lt"/>
                  <a:ea typeface="+mn-ea"/>
                  <a:cs typeface="+mn-cs"/>
                </a:rPr>
                <a:t>=1+  𝐴𝑃𝑅/12</a:t>
              </a:r>
              <a:endParaRPr lang="en-US">
                <a:effectLst/>
              </a:endParaRPr>
            </a:p>
            <a:p>
              <a:r>
                <a:rPr lang="en-US" sz="1100" b="0">
                  <a:solidFill>
                    <a:schemeClr val="tx1"/>
                  </a:solidFill>
                  <a:effectLst/>
                  <a:latin typeface="+mn-lt"/>
                  <a:ea typeface="+mn-ea"/>
                  <a:cs typeface="+mn-cs"/>
                </a:rPr>
                <a:t>(</a:t>
              </a:r>
              <a:r>
                <a:rPr lang="en-US" sz="1100" b="0" i="0">
                  <a:solidFill>
                    <a:schemeClr val="tx1"/>
                  </a:solidFill>
                  <a:effectLst/>
                  <a:latin typeface="+mn-lt"/>
                  <a:ea typeface="+mn-ea"/>
                  <a:cs typeface="+mn-cs"/>
                </a:rPr>
                <a:t>0.08327757+1</a:t>
              </a:r>
              <a:r>
                <a:rPr lang="en-US" sz="1100" b="0" i="0" baseline="30000">
                  <a:solidFill>
                    <a:schemeClr val="tx1"/>
                  </a:solidFill>
                  <a:effectLst/>
                  <a:latin typeface="+mn-lt"/>
                  <a:ea typeface="+mn-ea"/>
                  <a:cs typeface="+mn-cs"/>
                </a:rPr>
                <a:t>)^(1/12) </a:t>
              </a:r>
              <a:r>
                <a:rPr lang="en-US" sz="1100" b="0" i="0">
                  <a:solidFill>
                    <a:schemeClr val="tx1"/>
                  </a:solidFill>
                  <a:effectLst/>
                  <a:latin typeface="Cambria Math"/>
                  <a:ea typeface="+mn-ea"/>
                  <a:cs typeface="+mn-cs"/>
                </a:rPr>
                <a:t>−1=</a:t>
              </a:r>
              <a:r>
                <a:rPr lang="en-US" sz="1100" b="0" i="0">
                  <a:solidFill>
                    <a:schemeClr val="tx1"/>
                  </a:solidFill>
                  <a:effectLst/>
                  <a:latin typeface="+mn-lt"/>
                  <a:ea typeface="+mn-ea"/>
                  <a:cs typeface="+mn-cs"/>
                </a:rPr>
                <a:t>𝐴𝑃𝑅/12</a:t>
              </a:r>
              <a:endParaRPr lang="en-US" sz="1100"/>
            </a:p>
            <a:p>
              <a:r>
                <a:rPr lang="en-US" sz="1100" b="0">
                  <a:solidFill>
                    <a:schemeClr val="tx1"/>
                  </a:solidFill>
                  <a:effectLst/>
                  <a:latin typeface="+mn-lt"/>
                  <a:ea typeface="+mn-ea"/>
                  <a:cs typeface="+mn-cs"/>
                </a:rPr>
                <a:t>((</a:t>
              </a:r>
              <a:r>
                <a:rPr lang="en-US" sz="1100" b="0" i="0">
                  <a:solidFill>
                    <a:schemeClr val="tx1"/>
                  </a:solidFill>
                  <a:effectLst/>
                  <a:latin typeface="+mn-lt"/>
                  <a:ea typeface="+mn-ea"/>
                  <a:cs typeface="+mn-cs"/>
                </a:rPr>
                <a:t>0.08327757+1</a:t>
              </a:r>
              <a:r>
                <a:rPr lang="en-US" sz="1100" b="0" i="0" baseline="30000">
                  <a:solidFill>
                    <a:schemeClr val="tx1"/>
                  </a:solidFill>
                  <a:effectLst/>
                  <a:latin typeface="+mn-lt"/>
                  <a:ea typeface="+mn-ea"/>
                  <a:cs typeface="+mn-cs"/>
                </a:rPr>
                <a:t>)^(1/12) </a:t>
              </a:r>
              <a:r>
                <a:rPr lang="en-US" sz="1100" b="0" i="0">
                  <a:solidFill>
                    <a:schemeClr val="tx1"/>
                  </a:solidFill>
                  <a:effectLst/>
                  <a:latin typeface="+mn-lt"/>
                  <a:ea typeface="+mn-ea"/>
                  <a:cs typeface="+mn-cs"/>
                </a:rPr>
                <a:t>−1</a:t>
              </a:r>
              <a:r>
                <a:rPr lang="en-US" sz="1100" b="0" i="0">
                  <a:solidFill>
                    <a:schemeClr val="tx1"/>
                  </a:solidFill>
                  <a:effectLst/>
                  <a:latin typeface="Cambria Math"/>
                  <a:ea typeface="+mn-ea"/>
                  <a:cs typeface="+mn-cs"/>
                </a:rPr>
                <a:t>)∗12</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𝐴𝑃𝑅</a:t>
              </a:r>
              <a:endParaRPr lang="en-US" sz="1100"/>
            </a:p>
            <a:p>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5"/>
  <sheetViews>
    <sheetView tabSelected="1" zoomScale="145" zoomScaleNormal="145" workbookViewId="0">
      <selection activeCell="C5" sqref="C5"/>
    </sheetView>
  </sheetViews>
  <sheetFormatPr defaultRowHeight="14.4" x14ac:dyDescent="0.3"/>
  <cols>
    <col min="1" max="1" width="38.109375" bestFit="1" customWidth="1"/>
    <col min="3" max="3" width="10.33203125" bestFit="1" customWidth="1"/>
  </cols>
  <sheetData>
    <row r="1" spans="1:5" x14ac:dyDescent="0.3">
      <c r="A1" s="1" t="s">
        <v>7</v>
      </c>
      <c r="B1" s="1" t="s">
        <v>0</v>
      </c>
      <c r="C1" s="3">
        <v>-1000</v>
      </c>
    </row>
    <row r="2" spans="1:5" x14ac:dyDescent="0.3">
      <c r="A2" s="1" t="s">
        <v>9</v>
      </c>
      <c r="B2" s="1" t="s">
        <v>2</v>
      </c>
      <c r="C2" s="4">
        <v>0.1</v>
      </c>
    </row>
    <row r="3" spans="1:5" x14ac:dyDescent="0.3">
      <c r="A3" s="1" t="s">
        <v>27</v>
      </c>
      <c r="B3" s="1" t="s">
        <v>3</v>
      </c>
      <c r="C3" s="3">
        <v>2</v>
      </c>
    </row>
    <row r="4" spans="1:5" x14ac:dyDescent="0.3">
      <c r="A4" s="1" t="s">
        <v>10</v>
      </c>
      <c r="B4" s="1" t="s">
        <v>4</v>
      </c>
      <c r="C4" s="3">
        <v>4</v>
      </c>
    </row>
    <row r="5" spans="1:5" x14ac:dyDescent="0.3">
      <c r="A5" s="1" t="s">
        <v>11</v>
      </c>
      <c r="B5" s="1" t="s">
        <v>5</v>
      </c>
      <c r="C5" s="2"/>
    </row>
    <row r="6" spans="1:5" x14ac:dyDescent="0.3">
      <c r="A6" s="1" t="s">
        <v>12</v>
      </c>
      <c r="B6" s="1" t="s">
        <v>6</v>
      </c>
      <c r="C6" s="2"/>
      <c r="E6" s="1" t="s">
        <v>13</v>
      </c>
    </row>
    <row r="7" spans="1:5" x14ac:dyDescent="0.3">
      <c r="A7" s="1" t="s">
        <v>8</v>
      </c>
      <c r="B7" s="1" t="s">
        <v>1</v>
      </c>
      <c r="C7" s="18"/>
      <c r="E7" s="2"/>
    </row>
    <row r="9" spans="1:5" x14ac:dyDescent="0.3">
      <c r="A9" s="1" t="s">
        <v>8</v>
      </c>
      <c r="B9" s="1" t="s">
        <v>1</v>
      </c>
      <c r="C9" s="6">
        <v>1477.4554437890627</v>
      </c>
    </row>
    <row r="10" spans="1:5" x14ac:dyDescent="0.3">
      <c r="A10" s="1" t="s">
        <v>9</v>
      </c>
      <c r="B10" s="1" t="s">
        <v>2</v>
      </c>
      <c r="C10" s="4">
        <v>0.1</v>
      </c>
    </row>
    <row r="11" spans="1:5" x14ac:dyDescent="0.3">
      <c r="A11" s="1" t="s">
        <v>27</v>
      </c>
      <c r="B11" s="1" t="s">
        <v>3</v>
      </c>
      <c r="C11" s="3">
        <v>2</v>
      </c>
    </row>
    <row r="12" spans="1:5" x14ac:dyDescent="0.3">
      <c r="A12" s="1" t="s">
        <v>10</v>
      </c>
      <c r="B12" s="1" t="s">
        <v>4</v>
      </c>
      <c r="C12" s="3">
        <v>4</v>
      </c>
    </row>
    <row r="13" spans="1:5" x14ac:dyDescent="0.3">
      <c r="A13" s="1" t="s">
        <v>11</v>
      </c>
      <c r="B13" s="1" t="s">
        <v>5</v>
      </c>
      <c r="C13" s="2"/>
    </row>
    <row r="14" spans="1:5" x14ac:dyDescent="0.3">
      <c r="A14" s="1" t="s">
        <v>12</v>
      </c>
      <c r="B14" s="1" t="s">
        <v>6</v>
      </c>
      <c r="C14" s="2"/>
      <c r="E14" s="1" t="s">
        <v>13</v>
      </c>
    </row>
    <row r="15" spans="1:5" x14ac:dyDescent="0.3">
      <c r="A15" s="1" t="s">
        <v>7</v>
      </c>
      <c r="B15" s="1" t="s">
        <v>0</v>
      </c>
      <c r="C15" s="18"/>
      <c r="E15" s="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17"/>
  <sheetViews>
    <sheetView zoomScale="110" zoomScaleNormal="110" workbookViewId="0">
      <selection activeCell="C8" sqref="C8"/>
    </sheetView>
  </sheetViews>
  <sheetFormatPr defaultRowHeight="14.4" x14ac:dyDescent="0.3"/>
  <cols>
    <col min="1" max="1" width="2" bestFit="1" customWidth="1"/>
    <col min="2" max="2" width="46.33203125" style="10" customWidth="1"/>
    <col min="4" max="4" width="11.44140625" customWidth="1"/>
    <col min="5" max="5" width="14.44140625" bestFit="1" customWidth="1"/>
    <col min="6" max="6" width="10.21875" bestFit="1" customWidth="1"/>
    <col min="8" max="8" width="2.44140625" customWidth="1"/>
    <col min="9" max="10" width="1.33203125" customWidth="1"/>
    <col min="257" max="257" width="2" bestFit="1" customWidth="1"/>
    <col min="258" max="258" width="46.33203125" customWidth="1"/>
    <col min="260" max="260" width="11.44140625" customWidth="1"/>
    <col min="261" max="261" width="11.109375" customWidth="1"/>
    <col min="513" max="513" width="2" bestFit="1" customWidth="1"/>
    <col min="514" max="514" width="46.33203125" customWidth="1"/>
    <col min="516" max="516" width="11.44140625" customWidth="1"/>
    <col min="517" max="517" width="11.109375" customWidth="1"/>
    <col min="769" max="769" width="2" bestFit="1" customWidth="1"/>
    <col min="770" max="770" width="46.33203125" customWidth="1"/>
    <col min="772" max="772" width="11.44140625" customWidth="1"/>
    <col min="773" max="773" width="11.109375" customWidth="1"/>
    <col min="1025" max="1025" width="2" bestFit="1" customWidth="1"/>
    <col min="1026" max="1026" width="46.33203125" customWidth="1"/>
    <col min="1028" max="1028" width="11.44140625" customWidth="1"/>
    <col min="1029" max="1029" width="11.109375" customWidth="1"/>
    <col min="1281" max="1281" width="2" bestFit="1" customWidth="1"/>
    <col min="1282" max="1282" width="46.33203125" customWidth="1"/>
    <col min="1284" max="1284" width="11.44140625" customWidth="1"/>
    <col min="1285" max="1285" width="11.109375" customWidth="1"/>
    <col min="1537" max="1537" width="2" bestFit="1" customWidth="1"/>
    <col min="1538" max="1538" width="46.33203125" customWidth="1"/>
    <col min="1540" max="1540" width="11.44140625" customWidth="1"/>
    <col min="1541" max="1541" width="11.109375" customWidth="1"/>
    <col min="1793" max="1793" width="2" bestFit="1" customWidth="1"/>
    <col min="1794" max="1794" width="46.33203125" customWidth="1"/>
    <col min="1796" max="1796" width="11.44140625" customWidth="1"/>
    <col min="1797" max="1797" width="11.109375" customWidth="1"/>
    <col min="2049" max="2049" width="2" bestFit="1" customWidth="1"/>
    <col min="2050" max="2050" width="46.33203125" customWidth="1"/>
    <col min="2052" max="2052" width="11.44140625" customWidth="1"/>
    <col min="2053" max="2053" width="11.109375" customWidth="1"/>
    <col min="2305" max="2305" width="2" bestFit="1" customWidth="1"/>
    <col min="2306" max="2306" width="46.33203125" customWidth="1"/>
    <col min="2308" max="2308" width="11.44140625" customWidth="1"/>
    <col min="2309" max="2309" width="11.109375" customWidth="1"/>
    <col min="2561" max="2561" width="2" bestFit="1" customWidth="1"/>
    <col min="2562" max="2562" width="46.33203125" customWidth="1"/>
    <col min="2564" max="2564" width="11.44140625" customWidth="1"/>
    <col min="2565" max="2565" width="11.109375" customWidth="1"/>
    <col min="2817" max="2817" width="2" bestFit="1" customWidth="1"/>
    <col min="2818" max="2818" width="46.33203125" customWidth="1"/>
    <col min="2820" max="2820" width="11.44140625" customWidth="1"/>
    <col min="2821" max="2821" width="11.109375" customWidth="1"/>
    <col min="3073" max="3073" width="2" bestFit="1" customWidth="1"/>
    <col min="3074" max="3074" width="46.33203125" customWidth="1"/>
    <col min="3076" max="3076" width="11.44140625" customWidth="1"/>
    <col min="3077" max="3077" width="11.109375" customWidth="1"/>
    <col min="3329" max="3329" width="2" bestFit="1" customWidth="1"/>
    <col min="3330" max="3330" width="46.33203125" customWidth="1"/>
    <col min="3332" max="3332" width="11.44140625" customWidth="1"/>
    <col min="3333" max="3333" width="11.109375" customWidth="1"/>
    <col min="3585" max="3585" width="2" bestFit="1" customWidth="1"/>
    <col min="3586" max="3586" width="46.33203125" customWidth="1"/>
    <col min="3588" max="3588" width="11.44140625" customWidth="1"/>
    <col min="3589" max="3589" width="11.109375" customWidth="1"/>
    <col min="3841" max="3841" width="2" bestFit="1" customWidth="1"/>
    <col min="3842" max="3842" width="46.33203125" customWidth="1"/>
    <col min="3844" max="3844" width="11.44140625" customWidth="1"/>
    <col min="3845" max="3845" width="11.109375" customWidth="1"/>
    <col min="4097" max="4097" width="2" bestFit="1" customWidth="1"/>
    <col min="4098" max="4098" width="46.33203125" customWidth="1"/>
    <col min="4100" max="4100" width="11.44140625" customWidth="1"/>
    <col min="4101" max="4101" width="11.109375" customWidth="1"/>
    <col min="4353" max="4353" width="2" bestFit="1" customWidth="1"/>
    <col min="4354" max="4354" width="46.33203125" customWidth="1"/>
    <col min="4356" max="4356" width="11.44140625" customWidth="1"/>
    <col min="4357" max="4357" width="11.109375" customWidth="1"/>
    <col min="4609" max="4609" width="2" bestFit="1" customWidth="1"/>
    <col min="4610" max="4610" width="46.33203125" customWidth="1"/>
    <col min="4612" max="4612" width="11.44140625" customWidth="1"/>
    <col min="4613" max="4613" width="11.109375" customWidth="1"/>
    <col min="4865" max="4865" width="2" bestFit="1" customWidth="1"/>
    <col min="4866" max="4866" width="46.33203125" customWidth="1"/>
    <col min="4868" max="4868" width="11.44140625" customWidth="1"/>
    <col min="4869" max="4869" width="11.109375" customWidth="1"/>
    <col min="5121" max="5121" width="2" bestFit="1" customWidth="1"/>
    <col min="5122" max="5122" width="46.33203125" customWidth="1"/>
    <col min="5124" max="5124" width="11.44140625" customWidth="1"/>
    <col min="5125" max="5125" width="11.109375" customWidth="1"/>
    <col min="5377" max="5377" width="2" bestFit="1" customWidth="1"/>
    <col min="5378" max="5378" width="46.33203125" customWidth="1"/>
    <col min="5380" max="5380" width="11.44140625" customWidth="1"/>
    <col min="5381" max="5381" width="11.109375" customWidth="1"/>
    <col min="5633" max="5633" width="2" bestFit="1" customWidth="1"/>
    <col min="5634" max="5634" width="46.33203125" customWidth="1"/>
    <col min="5636" max="5636" width="11.44140625" customWidth="1"/>
    <col min="5637" max="5637" width="11.109375" customWidth="1"/>
    <col min="5889" max="5889" width="2" bestFit="1" customWidth="1"/>
    <col min="5890" max="5890" width="46.33203125" customWidth="1"/>
    <col min="5892" max="5892" width="11.44140625" customWidth="1"/>
    <col min="5893" max="5893" width="11.109375" customWidth="1"/>
    <col min="6145" max="6145" width="2" bestFit="1" customWidth="1"/>
    <col min="6146" max="6146" width="46.33203125" customWidth="1"/>
    <col min="6148" max="6148" width="11.44140625" customWidth="1"/>
    <col min="6149" max="6149" width="11.109375" customWidth="1"/>
    <col min="6401" max="6401" width="2" bestFit="1" customWidth="1"/>
    <col min="6402" max="6402" width="46.33203125" customWidth="1"/>
    <col min="6404" max="6404" width="11.44140625" customWidth="1"/>
    <col min="6405" max="6405" width="11.109375" customWidth="1"/>
    <col min="6657" max="6657" width="2" bestFit="1" customWidth="1"/>
    <col min="6658" max="6658" width="46.33203125" customWidth="1"/>
    <col min="6660" max="6660" width="11.44140625" customWidth="1"/>
    <col min="6661" max="6661" width="11.109375" customWidth="1"/>
    <col min="6913" max="6913" width="2" bestFit="1" customWidth="1"/>
    <col min="6914" max="6914" width="46.33203125" customWidth="1"/>
    <col min="6916" max="6916" width="11.44140625" customWidth="1"/>
    <col min="6917" max="6917" width="11.109375" customWidth="1"/>
    <col min="7169" max="7169" width="2" bestFit="1" customWidth="1"/>
    <col min="7170" max="7170" width="46.33203125" customWidth="1"/>
    <col min="7172" max="7172" width="11.44140625" customWidth="1"/>
    <col min="7173" max="7173" width="11.109375" customWidth="1"/>
    <col min="7425" max="7425" width="2" bestFit="1" customWidth="1"/>
    <col min="7426" max="7426" width="46.33203125" customWidth="1"/>
    <col min="7428" max="7428" width="11.44140625" customWidth="1"/>
    <col min="7429" max="7429" width="11.109375" customWidth="1"/>
    <col min="7681" max="7681" width="2" bestFit="1" customWidth="1"/>
    <col min="7682" max="7682" width="46.33203125" customWidth="1"/>
    <col min="7684" max="7684" width="11.44140625" customWidth="1"/>
    <col min="7685" max="7685" width="11.109375" customWidth="1"/>
    <col min="7937" max="7937" width="2" bestFit="1" customWidth="1"/>
    <col min="7938" max="7938" width="46.33203125" customWidth="1"/>
    <col min="7940" max="7940" width="11.44140625" customWidth="1"/>
    <col min="7941" max="7941" width="11.109375" customWidth="1"/>
    <col min="8193" max="8193" width="2" bestFit="1" customWidth="1"/>
    <col min="8194" max="8194" width="46.33203125" customWidth="1"/>
    <col min="8196" max="8196" width="11.44140625" customWidth="1"/>
    <col min="8197" max="8197" width="11.109375" customWidth="1"/>
    <col min="8449" max="8449" width="2" bestFit="1" customWidth="1"/>
    <col min="8450" max="8450" width="46.33203125" customWidth="1"/>
    <col min="8452" max="8452" width="11.44140625" customWidth="1"/>
    <col min="8453" max="8453" width="11.109375" customWidth="1"/>
    <col min="8705" max="8705" width="2" bestFit="1" customWidth="1"/>
    <col min="8706" max="8706" width="46.33203125" customWidth="1"/>
    <col min="8708" max="8708" width="11.44140625" customWidth="1"/>
    <col min="8709" max="8709" width="11.109375" customWidth="1"/>
    <col min="8961" max="8961" width="2" bestFit="1" customWidth="1"/>
    <col min="8962" max="8962" width="46.33203125" customWidth="1"/>
    <col min="8964" max="8964" width="11.44140625" customWidth="1"/>
    <col min="8965" max="8965" width="11.109375" customWidth="1"/>
    <col min="9217" max="9217" width="2" bestFit="1" customWidth="1"/>
    <col min="9218" max="9218" width="46.33203125" customWidth="1"/>
    <col min="9220" max="9220" width="11.44140625" customWidth="1"/>
    <col min="9221" max="9221" width="11.109375" customWidth="1"/>
    <col min="9473" max="9473" width="2" bestFit="1" customWidth="1"/>
    <col min="9474" max="9474" width="46.33203125" customWidth="1"/>
    <col min="9476" max="9476" width="11.44140625" customWidth="1"/>
    <col min="9477" max="9477" width="11.109375" customWidth="1"/>
    <col min="9729" max="9729" width="2" bestFit="1" customWidth="1"/>
    <col min="9730" max="9730" width="46.33203125" customWidth="1"/>
    <col min="9732" max="9732" width="11.44140625" customWidth="1"/>
    <col min="9733" max="9733" width="11.109375" customWidth="1"/>
    <col min="9985" max="9985" width="2" bestFit="1" customWidth="1"/>
    <col min="9986" max="9986" width="46.33203125" customWidth="1"/>
    <col min="9988" max="9988" width="11.44140625" customWidth="1"/>
    <col min="9989" max="9989" width="11.109375" customWidth="1"/>
    <col min="10241" max="10241" width="2" bestFit="1" customWidth="1"/>
    <col min="10242" max="10242" width="46.33203125" customWidth="1"/>
    <col min="10244" max="10244" width="11.44140625" customWidth="1"/>
    <col min="10245" max="10245" width="11.109375" customWidth="1"/>
    <col min="10497" max="10497" width="2" bestFit="1" customWidth="1"/>
    <col min="10498" max="10498" width="46.33203125" customWidth="1"/>
    <col min="10500" max="10500" width="11.44140625" customWidth="1"/>
    <col min="10501" max="10501" width="11.109375" customWidth="1"/>
    <col min="10753" max="10753" width="2" bestFit="1" customWidth="1"/>
    <col min="10754" max="10754" width="46.33203125" customWidth="1"/>
    <col min="10756" max="10756" width="11.44140625" customWidth="1"/>
    <col min="10757" max="10757" width="11.109375" customWidth="1"/>
    <col min="11009" max="11009" width="2" bestFit="1" customWidth="1"/>
    <col min="11010" max="11010" width="46.33203125" customWidth="1"/>
    <col min="11012" max="11012" width="11.44140625" customWidth="1"/>
    <col min="11013" max="11013" width="11.109375" customWidth="1"/>
    <col min="11265" max="11265" width="2" bestFit="1" customWidth="1"/>
    <col min="11266" max="11266" width="46.33203125" customWidth="1"/>
    <col min="11268" max="11268" width="11.44140625" customWidth="1"/>
    <col min="11269" max="11269" width="11.109375" customWidth="1"/>
    <col min="11521" max="11521" width="2" bestFit="1" customWidth="1"/>
    <col min="11522" max="11522" width="46.33203125" customWidth="1"/>
    <col min="11524" max="11524" width="11.44140625" customWidth="1"/>
    <col min="11525" max="11525" width="11.109375" customWidth="1"/>
    <col min="11777" max="11777" width="2" bestFit="1" customWidth="1"/>
    <col min="11778" max="11778" width="46.33203125" customWidth="1"/>
    <col min="11780" max="11780" width="11.44140625" customWidth="1"/>
    <col min="11781" max="11781" width="11.109375" customWidth="1"/>
    <col min="12033" max="12033" width="2" bestFit="1" customWidth="1"/>
    <col min="12034" max="12034" width="46.33203125" customWidth="1"/>
    <col min="12036" max="12036" width="11.44140625" customWidth="1"/>
    <col min="12037" max="12037" width="11.109375" customWidth="1"/>
    <col min="12289" max="12289" width="2" bestFit="1" customWidth="1"/>
    <col min="12290" max="12290" width="46.33203125" customWidth="1"/>
    <col min="12292" max="12292" width="11.44140625" customWidth="1"/>
    <col min="12293" max="12293" width="11.109375" customWidth="1"/>
    <col min="12545" max="12545" width="2" bestFit="1" customWidth="1"/>
    <col min="12546" max="12546" width="46.33203125" customWidth="1"/>
    <col min="12548" max="12548" width="11.44140625" customWidth="1"/>
    <col min="12549" max="12549" width="11.109375" customWidth="1"/>
    <col min="12801" max="12801" width="2" bestFit="1" customWidth="1"/>
    <col min="12802" max="12802" width="46.33203125" customWidth="1"/>
    <col min="12804" max="12804" width="11.44140625" customWidth="1"/>
    <col min="12805" max="12805" width="11.109375" customWidth="1"/>
    <col min="13057" max="13057" width="2" bestFit="1" customWidth="1"/>
    <col min="13058" max="13058" width="46.33203125" customWidth="1"/>
    <col min="13060" max="13060" width="11.44140625" customWidth="1"/>
    <col min="13061" max="13061" width="11.109375" customWidth="1"/>
    <col min="13313" max="13313" width="2" bestFit="1" customWidth="1"/>
    <col min="13314" max="13314" width="46.33203125" customWidth="1"/>
    <col min="13316" max="13316" width="11.44140625" customWidth="1"/>
    <col min="13317" max="13317" width="11.109375" customWidth="1"/>
    <col min="13569" max="13569" width="2" bestFit="1" customWidth="1"/>
    <col min="13570" max="13570" width="46.33203125" customWidth="1"/>
    <col min="13572" max="13572" width="11.44140625" customWidth="1"/>
    <col min="13573" max="13573" width="11.109375" customWidth="1"/>
    <col min="13825" max="13825" width="2" bestFit="1" customWidth="1"/>
    <col min="13826" max="13826" width="46.33203125" customWidth="1"/>
    <col min="13828" max="13828" width="11.44140625" customWidth="1"/>
    <col min="13829" max="13829" width="11.109375" customWidth="1"/>
    <col min="14081" max="14081" width="2" bestFit="1" customWidth="1"/>
    <col min="14082" max="14082" width="46.33203125" customWidth="1"/>
    <col min="14084" max="14084" width="11.44140625" customWidth="1"/>
    <col min="14085" max="14085" width="11.109375" customWidth="1"/>
    <col min="14337" max="14337" width="2" bestFit="1" customWidth="1"/>
    <col min="14338" max="14338" width="46.33203125" customWidth="1"/>
    <col min="14340" max="14340" width="11.44140625" customWidth="1"/>
    <col min="14341" max="14341" width="11.109375" customWidth="1"/>
    <col min="14593" max="14593" width="2" bestFit="1" customWidth="1"/>
    <col min="14594" max="14594" width="46.33203125" customWidth="1"/>
    <col min="14596" max="14596" width="11.44140625" customWidth="1"/>
    <col min="14597" max="14597" width="11.109375" customWidth="1"/>
    <col min="14849" max="14849" width="2" bestFit="1" customWidth="1"/>
    <col min="14850" max="14850" width="46.33203125" customWidth="1"/>
    <col min="14852" max="14852" width="11.44140625" customWidth="1"/>
    <col min="14853" max="14853" width="11.109375" customWidth="1"/>
    <col min="15105" max="15105" width="2" bestFit="1" customWidth="1"/>
    <col min="15106" max="15106" width="46.33203125" customWidth="1"/>
    <col min="15108" max="15108" width="11.44140625" customWidth="1"/>
    <col min="15109" max="15109" width="11.109375" customWidth="1"/>
    <col min="15361" max="15361" width="2" bestFit="1" customWidth="1"/>
    <col min="15362" max="15362" width="46.33203125" customWidth="1"/>
    <col min="15364" max="15364" width="11.44140625" customWidth="1"/>
    <col min="15365" max="15365" width="11.109375" customWidth="1"/>
    <col min="15617" max="15617" width="2" bestFit="1" customWidth="1"/>
    <col min="15618" max="15618" width="46.33203125" customWidth="1"/>
    <col min="15620" max="15620" width="11.44140625" customWidth="1"/>
    <col min="15621" max="15621" width="11.109375" customWidth="1"/>
    <col min="15873" max="15873" width="2" bestFit="1" customWidth="1"/>
    <col min="15874" max="15874" width="46.33203125" customWidth="1"/>
    <col min="15876" max="15876" width="11.44140625" customWidth="1"/>
    <col min="15877" max="15877" width="11.109375" customWidth="1"/>
    <col min="16129" max="16129" width="2" bestFit="1" customWidth="1"/>
    <col min="16130" max="16130" width="46.33203125" customWidth="1"/>
    <col min="16132" max="16132" width="11.44140625" customWidth="1"/>
    <col min="16133" max="16133" width="11.109375" customWidth="1"/>
  </cols>
  <sheetData>
    <row r="1" spans="1:11" x14ac:dyDescent="0.3">
      <c r="B1" s="34" t="s">
        <v>49</v>
      </c>
      <c r="C1" s="34"/>
    </row>
    <row r="2" spans="1:11" x14ac:dyDescent="0.3">
      <c r="B2" s="8" t="s">
        <v>50</v>
      </c>
      <c r="C2" s="1">
        <v>0.12</v>
      </c>
    </row>
    <row r="3" spans="1:11" x14ac:dyDescent="0.3">
      <c r="B3" s="8" t="s">
        <v>51</v>
      </c>
      <c r="C3" s="1">
        <v>12</v>
      </c>
    </row>
    <row r="4" spans="1:11" ht="21" x14ac:dyDescent="0.4">
      <c r="A4" s="41">
        <v>1</v>
      </c>
      <c r="B4" s="8" t="s">
        <v>52</v>
      </c>
      <c r="C4" s="42"/>
    </row>
    <row r="5" spans="1:11" ht="3" customHeight="1" x14ac:dyDescent="0.3"/>
    <row r="6" spans="1:11" x14ac:dyDescent="0.3">
      <c r="B6" s="34" t="s">
        <v>53</v>
      </c>
      <c r="C6" s="34"/>
    </row>
    <row r="7" spans="1:11" x14ac:dyDescent="0.3">
      <c r="B7" s="8" t="s">
        <v>54</v>
      </c>
      <c r="C7" s="1">
        <v>5.0000000000000001E-3</v>
      </c>
    </row>
    <row r="8" spans="1:11" x14ac:dyDescent="0.3">
      <c r="B8" s="8" t="s">
        <v>39</v>
      </c>
      <c r="C8" s="3"/>
    </row>
    <row r="9" spans="1:11" ht="35.4" x14ac:dyDescent="0.4">
      <c r="A9" s="41">
        <v>2</v>
      </c>
      <c r="B9" s="8" t="s">
        <v>55</v>
      </c>
      <c r="C9" s="42"/>
      <c r="D9" s="138" t="s">
        <v>307</v>
      </c>
      <c r="E9" s="138"/>
      <c r="F9" s="138"/>
      <c r="G9" s="138"/>
    </row>
    <row r="10" spans="1:11" ht="3" customHeight="1" x14ac:dyDescent="0.3"/>
    <row r="11" spans="1:11" x14ac:dyDescent="0.3">
      <c r="B11" s="34" t="s">
        <v>56</v>
      </c>
      <c r="C11" s="34"/>
    </row>
    <row r="12" spans="1:11" x14ac:dyDescent="0.3">
      <c r="B12" s="8" t="s">
        <v>57</v>
      </c>
      <c r="C12" s="1">
        <v>0.18</v>
      </c>
    </row>
    <row r="13" spans="1:11" x14ac:dyDescent="0.3">
      <c r="B13" s="8" t="s">
        <v>39</v>
      </c>
      <c r="C13" s="1">
        <v>12</v>
      </c>
    </row>
    <row r="14" spans="1:11" ht="44.4" x14ac:dyDescent="0.4">
      <c r="A14" s="41">
        <v>3</v>
      </c>
      <c r="B14" s="8" t="s">
        <v>253</v>
      </c>
      <c r="C14" s="42"/>
      <c r="E14" s="43" t="str">
        <f>IF(C14="","","The Real Rate for n = 1 is actually "&amp;TEXT(C14,"0.00%")&amp;". However, it is ironic and untruthful to have the APR of "&amp;TEXT($C$12,"0.00%")&amp;" prominently displayed on all debt contracts.")</f>
        <v/>
      </c>
      <c r="F14" s="44"/>
      <c r="G14" s="44"/>
      <c r="H14" s="44"/>
      <c r="I14" s="44"/>
      <c r="J14" s="44"/>
      <c r="K14" s="44"/>
    </row>
    <row r="15" spans="1:11" ht="30" x14ac:dyDescent="0.3">
      <c r="B15" s="8" t="s">
        <v>58</v>
      </c>
      <c r="C15" s="42"/>
    </row>
    <row r="16" spans="1:11" ht="3" customHeight="1" x14ac:dyDescent="0.3"/>
    <row r="17" spans="2:2" ht="57.6" x14ac:dyDescent="0.3">
      <c r="B17" s="137" t="s">
        <v>254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7"/>
  <sheetViews>
    <sheetView zoomScaleNormal="100" workbookViewId="0">
      <selection activeCell="C8" sqref="C8"/>
    </sheetView>
  </sheetViews>
  <sheetFormatPr defaultRowHeight="14.4" x14ac:dyDescent="0.3"/>
  <cols>
    <col min="1" max="1" width="2" bestFit="1" customWidth="1"/>
    <col min="2" max="2" width="46.33203125" style="10" customWidth="1"/>
    <col min="4" max="4" width="11.44140625" customWidth="1"/>
    <col min="5" max="5" width="11.109375" customWidth="1"/>
    <col min="257" max="257" width="2" bestFit="1" customWidth="1"/>
    <col min="258" max="258" width="46.33203125" customWidth="1"/>
    <col min="260" max="260" width="11.44140625" customWidth="1"/>
    <col min="261" max="261" width="11.109375" customWidth="1"/>
    <col min="513" max="513" width="2" bestFit="1" customWidth="1"/>
    <col min="514" max="514" width="46.33203125" customWidth="1"/>
    <col min="516" max="516" width="11.44140625" customWidth="1"/>
    <col min="517" max="517" width="11.109375" customWidth="1"/>
    <col min="769" max="769" width="2" bestFit="1" customWidth="1"/>
    <col min="770" max="770" width="46.33203125" customWidth="1"/>
    <col min="772" max="772" width="11.44140625" customWidth="1"/>
    <col min="773" max="773" width="11.109375" customWidth="1"/>
    <col min="1025" max="1025" width="2" bestFit="1" customWidth="1"/>
    <col min="1026" max="1026" width="46.33203125" customWidth="1"/>
    <col min="1028" max="1028" width="11.44140625" customWidth="1"/>
    <col min="1029" max="1029" width="11.109375" customWidth="1"/>
    <col min="1281" max="1281" width="2" bestFit="1" customWidth="1"/>
    <col min="1282" max="1282" width="46.33203125" customWidth="1"/>
    <col min="1284" max="1284" width="11.44140625" customWidth="1"/>
    <col min="1285" max="1285" width="11.109375" customWidth="1"/>
    <col min="1537" max="1537" width="2" bestFit="1" customWidth="1"/>
    <col min="1538" max="1538" width="46.33203125" customWidth="1"/>
    <col min="1540" max="1540" width="11.44140625" customWidth="1"/>
    <col min="1541" max="1541" width="11.109375" customWidth="1"/>
    <col min="1793" max="1793" width="2" bestFit="1" customWidth="1"/>
    <col min="1794" max="1794" width="46.33203125" customWidth="1"/>
    <col min="1796" max="1796" width="11.44140625" customWidth="1"/>
    <col min="1797" max="1797" width="11.109375" customWidth="1"/>
    <col min="2049" max="2049" width="2" bestFit="1" customWidth="1"/>
    <col min="2050" max="2050" width="46.33203125" customWidth="1"/>
    <col min="2052" max="2052" width="11.44140625" customWidth="1"/>
    <col min="2053" max="2053" width="11.109375" customWidth="1"/>
    <col min="2305" max="2305" width="2" bestFit="1" customWidth="1"/>
    <col min="2306" max="2306" width="46.33203125" customWidth="1"/>
    <col min="2308" max="2308" width="11.44140625" customWidth="1"/>
    <col min="2309" max="2309" width="11.109375" customWidth="1"/>
    <col min="2561" max="2561" width="2" bestFit="1" customWidth="1"/>
    <col min="2562" max="2562" width="46.33203125" customWidth="1"/>
    <col min="2564" max="2564" width="11.44140625" customWidth="1"/>
    <col min="2565" max="2565" width="11.109375" customWidth="1"/>
    <col min="2817" max="2817" width="2" bestFit="1" customWidth="1"/>
    <col min="2818" max="2818" width="46.33203125" customWidth="1"/>
    <col min="2820" max="2820" width="11.44140625" customWidth="1"/>
    <col min="2821" max="2821" width="11.109375" customWidth="1"/>
    <col min="3073" max="3073" width="2" bestFit="1" customWidth="1"/>
    <col min="3074" max="3074" width="46.33203125" customWidth="1"/>
    <col min="3076" max="3076" width="11.44140625" customWidth="1"/>
    <col min="3077" max="3077" width="11.109375" customWidth="1"/>
    <col min="3329" max="3329" width="2" bestFit="1" customWidth="1"/>
    <col min="3330" max="3330" width="46.33203125" customWidth="1"/>
    <col min="3332" max="3332" width="11.44140625" customWidth="1"/>
    <col min="3333" max="3333" width="11.109375" customWidth="1"/>
    <col min="3585" max="3585" width="2" bestFit="1" customWidth="1"/>
    <col min="3586" max="3586" width="46.33203125" customWidth="1"/>
    <col min="3588" max="3588" width="11.44140625" customWidth="1"/>
    <col min="3589" max="3589" width="11.109375" customWidth="1"/>
    <col min="3841" max="3841" width="2" bestFit="1" customWidth="1"/>
    <col min="3842" max="3842" width="46.33203125" customWidth="1"/>
    <col min="3844" max="3844" width="11.44140625" customWidth="1"/>
    <col min="3845" max="3845" width="11.109375" customWidth="1"/>
    <col min="4097" max="4097" width="2" bestFit="1" customWidth="1"/>
    <col min="4098" max="4098" width="46.33203125" customWidth="1"/>
    <col min="4100" max="4100" width="11.44140625" customWidth="1"/>
    <col min="4101" max="4101" width="11.109375" customWidth="1"/>
    <col min="4353" max="4353" width="2" bestFit="1" customWidth="1"/>
    <col min="4354" max="4354" width="46.33203125" customWidth="1"/>
    <col min="4356" max="4356" width="11.44140625" customWidth="1"/>
    <col min="4357" max="4357" width="11.109375" customWidth="1"/>
    <col min="4609" max="4609" width="2" bestFit="1" customWidth="1"/>
    <col min="4610" max="4610" width="46.33203125" customWidth="1"/>
    <col min="4612" max="4612" width="11.44140625" customWidth="1"/>
    <col min="4613" max="4613" width="11.109375" customWidth="1"/>
    <col min="4865" max="4865" width="2" bestFit="1" customWidth="1"/>
    <col min="4866" max="4866" width="46.33203125" customWidth="1"/>
    <col min="4868" max="4868" width="11.44140625" customWidth="1"/>
    <col min="4869" max="4869" width="11.109375" customWidth="1"/>
    <col min="5121" max="5121" width="2" bestFit="1" customWidth="1"/>
    <col min="5122" max="5122" width="46.33203125" customWidth="1"/>
    <col min="5124" max="5124" width="11.44140625" customWidth="1"/>
    <col min="5125" max="5125" width="11.109375" customWidth="1"/>
    <col min="5377" max="5377" width="2" bestFit="1" customWidth="1"/>
    <col min="5378" max="5378" width="46.33203125" customWidth="1"/>
    <col min="5380" max="5380" width="11.44140625" customWidth="1"/>
    <col min="5381" max="5381" width="11.109375" customWidth="1"/>
    <col min="5633" max="5633" width="2" bestFit="1" customWidth="1"/>
    <col min="5634" max="5634" width="46.33203125" customWidth="1"/>
    <col min="5636" max="5636" width="11.44140625" customWidth="1"/>
    <col min="5637" max="5637" width="11.109375" customWidth="1"/>
    <col min="5889" max="5889" width="2" bestFit="1" customWidth="1"/>
    <col min="5890" max="5890" width="46.33203125" customWidth="1"/>
    <col min="5892" max="5892" width="11.44140625" customWidth="1"/>
    <col min="5893" max="5893" width="11.109375" customWidth="1"/>
    <col min="6145" max="6145" width="2" bestFit="1" customWidth="1"/>
    <col min="6146" max="6146" width="46.33203125" customWidth="1"/>
    <col min="6148" max="6148" width="11.44140625" customWidth="1"/>
    <col min="6149" max="6149" width="11.109375" customWidth="1"/>
    <col min="6401" max="6401" width="2" bestFit="1" customWidth="1"/>
    <col min="6402" max="6402" width="46.33203125" customWidth="1"/>
    <col min="6404" max="6404" width="11.44140625" customWidth="1"/>
    <col min="6405" max="6405" width="11.109375" customWidth="1"/>
    <col min="6657" max="6657" width="2" bestFit="1" customWidth="1"/>
    <col min="6658" max="6658" width="46.33203125" customWidth="1"/>
    <col min="6660" max="6660" width="11.44140625" customWidth="1"/>
    <col min="6661" max="6661" width="11.109375" customWidth="1"/>
    <col min="6913" max="6913" width="2" bestFit="1" customWidth="1"/>
    <col min="6914" max="6914" width="46.33203125" customWidth="1"/>
    <col min="6916" max="6916" width="11.44140625" customWidth="1"/>
    <col min="6917" max="6917" width="11.109375" customWidth="1"/>
    <col min="7169" max="7169" width="2" bestFit="1" customWidth="1"/>
    <col min="7170" max="7170" width="46.33203125" customWidth="1"/>
    <col min="7172" max="7172" width="11.44140625" customWidth="1"/>
    <col min="7173" max="7173" width="11.109375" customWidth="1"/>
    <col min="7425" max="7425" width="2" bestFit="1" customWidth="1"/>
    <col min="7426" max="7426" width="46.33203125" customWidth="1"/>
    <col min="7428" max="7428" width="11.44140625" customWidth="1"/>
    <col min="7429" max="7429" width="11.109375" customWidth="1"/>
    <col min="7681" max="7681" width="2" bestFit="1" customWidth="1"/>
    <col min="7682" max="7682" width="46.33203125" customWidth="1"/>
    <col min="7684" max="7684" width="11.44140625" customWidth="1"/>
    <col min="7685" max="7685" width="11.109375" customWidth="1"/>
    <col min="7937" max="7937" width="2" bestFit="1" customWidth="1"/>
    <col min="7938" max="7938" width="46.33203125" customWidth="1"/>
    <col min="7940" max="7940" width="11.44140625" customWidth="1"/>
    <col min="7941" max="7941" width="11.109375" customWidth="1"/>
    <col min="8193" max="8193" width="2" bestFit="1" customWidth="1"/>
    <col min="8194" max="8194" width="46.33203125" customWidth="1"/>
    <col min="8196" max="8196" width="11.44140625" customWidth="1"/>
    <col min="8197" max="8197" width="11.109375" customWidth="1"/>
    <col min="8449" max="8449" width="2" bestFit="1" customWidth="1"/>
    <col min="8450" max="8450" width="46.33203125" customWidth="1"/>
    <col min="8452" max="8452" width="11.44140625" customWidth="1"/>
    <col min="8453" max="8453" width="11.109375" customWidth="1"/>
    <col min="8705" max="8705" width="2" bestFit="1" customWidth="1"/>
    <col min="8706" max="8706" width="46.33203125" customWidth="1"/>
    <col min="8708" max="8708" width="11.44140625" customWidth="1"/>
    <col min="8709" max="8709" width="11.109375" customWidth="1"/>
    <col min="8961" max="8961" width="2" bestFit="1" customWidth="1"/>
    <col min="8962" max="8962" width="46.33203125" customWidth="1"/>
    <col min="8964" max="8964" width="11.44140625" customWidth="1"/>
    <col min="8965" max="8965" width="11.109375" customWidth="1"/>
    <col min="9217" max="9217" width="2" bestFit="1" customWidth="1"/>
    <col min="9218" max="9218" width="46.33203125" customWidth="1"/>
    <col min="9220" max="9220" width="11.44140625" customWidth="1"/>
    <col min="9221" max="9221" width="11.109375" customWidth="1"/>
    <col min="9473" max="9473" width="2" bestFit="1" customWidth="1"/>
    <col min="9474" max="9474" width="46.33203125" customWidth="1"/>
    <col min="9476" max="9476" width="11.44140625" customWidth="1"/>
    <col min="9477" max="9477" width="11.109375" customWidth="1"/>
    <col min="9729" max="9729" width="2" bestFit="1" customWidth="1"/>
    <col min="9730" max="9730" width="46.33203125" customWidth="1"/>
    <col min="9732" max="9732" width="11.44140625" customWidth="1"/>
    <col min="9733" max="9733" width="11.109375" customWidth="1"/>
    <col min="9985" max="9985" width="2" bestFit="1" customWidth="1"/>
    <col min="9986" max="9986" width="46.33203125" customWidth="1"/>
    <col min="9988" max="9988" width="11.44140625" customWidth="1"/>
    <col min="9989" max="9989" width="11.109375" customWidth="1"/>
    <col min="10241" max="10241" width="2" bestFit="1" customWidth="1"/>
    <col min="10242" max="10242" width="46.33203125" customWidth="1"/>
    <col min="10244" max="10244" width="11.44140625" customWidth="1"/>
    <col min="10245" max="10245" width="11.109375" customWidth="1"/>
    <col min="10497" max="10497" width="2" bestFit="1" customWidth="1"/>
    <col min="10498" max="10498" width="46.33203125" customWidth="1"/>
    <col min="10500" max="10500" width="11.44140625" customWidth="1"/>
    <col min="10501" max="10501" width="11.109375" customWidth="1"/>
    <col min="10753" max="10753" width="2" bestFit="1" customWidth="1"/>
    <col min="10754" max="10754" width="46.33203125" customWidth="1"/>
    <col min="10756" max="10756" width="11.44140625" customWidth="1"/>
    <col min="10757" max="10757" width="11.109375" customWidth="1"/>
    <col min="11009" max="11009" width="2" bestFit="1" customWidth="1"/>
    <col min="11010" max="11010" width="46.33203125" customWidth="1"/>
    <col min="11012" max="11012" width="11.44140625" customWidth="1"/>
    <col min="11013" max="11013" width="11.109375" customWidth="1"/>
    <col min="11265" max="11265" width="2" bestFit="1" customWidth="1"/>
    <col min="11266" max="11266" width="46.33203125" customWidth="1"/>
    <col min="11268" max="11268" width="11.44140625" customWidth="1"/>
    <col min="11269" max="11269" width="11.109375" customWidth="1"/>
    <col min="11521" max="11521" width="2" bestFit="1" customWidth="1"/>
    <col min="11522" max="11522" width="46.33203125" customWidth="1"/>
    <col min="11524" max="11524" width="11.44140625" customWidth="1"/>
    <col min="11525" max="11525" width="11.109375" customWidth="1"/>
    <col min="11777" max="11777" width="2" bestFit="1" customWidth="1"/>
    <col min="11778" max="11778" width="46.33203125" customWidth="1"/>
    <col min="11780" max="11780" width="11.44140625" customWidth="1"/>
    <col min="11781" max="11781" width="11.109375" customWidth="1"/>
    <col min="12033" max="12033" width="2" bestFit="1" customWidth="1"/>
    <col min="12034" max="12034" width="46.33203125" customWidth="1"/>
    <col min="12036" max="12036" width="11.44140625" customWidth="1"/>
    <col min="12037" max="12037" width="11.109375" customWidth="1"/>
    <col min="12289" max="12289" width="2" bestFit="1" customWidth="1"/>
    <col min="12290" max="12290" width="46.33203125" customWidth="1"/>
    <col min="12292" max="12292" width="11.44140625" customWidth="1"/>
    <col min="12293" max="12293" width="11.109375" customWidth="1"/>
    <col min="12545" max="12545" width="2" bestFit="1" customWidth="1"/>
    <col min="12546" max="12546" width="46.33203125" customWidth="1"/>
    <col min="12548" max="12548" width="11.44140625" customWidth="1"/>
    <col min="12549" max="12549" width="11.109375" customWidth="1"/>
    <col min="12801" max="12801" width="2" bestFit="1" customWidth="1"/>
    <col min="12802" max="12802" width="46.33203125" customWidth="1"/>
    <col min="12804" max="12804" width="11.44140625" customWidth="1"/>
    <col min="12805" max="12805" width="11.109375" customWidth="1"/>
    <col min="13057" max="13057" width="2" bestFit="1" customWidth="1"/>
    <col min="13058" max="13058" width="46.33203125" customWidth="1"/>
    <col min="13060" max="13060" width="11.44140625" customWidth="1"/>
    <col min="13061" max="13061" width="11.109375" customWidth="1"/>
    <col min="13313" max="13313" width="2" bestFit="1" customWidth="1"/>
    <col min="13314" max="13314" width="46.33203125" customWidth="1"/>
    <col min="13316" max="13316" width="11.44140625" customWidth="1"/>
    <col min="13317" max="13317" width="11.109375" customWidth="1"/>
    <col min="13569" max="13569" width="2" bestFit="1" customWidth="1"/>
    <col min="13570" max="13570" width="46.33203125" customWidth="1"/>
    <col min="13572" max="13572" width="11.44140625" customWidth="1"/>
    <col min="13573" max="13573" width="11.109375" customWidth="1"/>
    <col min="13825" max="13825" width="2" bestFit="1" customWidth="1"/>
    <col min="13826" max="13826" width="46.33203125" customWidth="1"/>
    <col min="13828" max="13828" width="11.44140625" customWidth="1"/>
    <col min="13829" max="13829" width="11.109375" customWidth="1"/>
    <col min="14081" max="14081" width="2" bestFit="1" customWidth="1"/>
    <col min="14082" max="14082" width="46.33203125" customWidth="1"/>
    <col min="14084" max="14084" width="11.44140625" customWidth="1"/>
    <col min="14085" max="14085" width="11.109375" customWidth="1"/>
    <col min="14337" max="14337" width="2" bestFit="1" customWidth="1"/>
    <col min="14338" max="14338" width="46.33203125" customWidth="1"/>
    <col min="14340" max="14340" width="11.44140625" customWidth="1"/>
    <col min="14341" max="14341" width="11.109375" customWidth="1"/>
    <col min="14593" max="14593" width="2" bestFit="1" customWidth="1"/>
    <col min="14594" max="14594" width="46.33203125" customWidth="1"/>
    <col min="14596" max="14596" width="11.44140625" customWidth="1"/>
    <col min="14597" max="14597" width="11.109375" customWidth="1"/>
    <col min="14849" max="14849" width="2" bestFit="1" customWidth="1"/>
    <col min="14850" max="14850" width="46.33203125" customWidth="1"/>
    <col min="14852" max="14852" width="11.44140625" customWidth="1"/>
    <col min="14853" max="14853" width="11.109375" customWidth="1"/>
    <col min="15105" max="15105" width="2" bestFit="1" customWidth="1"/>
    <col min="15106" max="15106" width="46.33203125" customWidth="1"/>
    <col min="15108" max="15108" width="11.44140625" customWidth="1"/>
    <col min="15109" max="15109" width="11.109375" customWidth="1"/>
    <col min="15361" max="15361" width="2" bestFit="1" customWidth="1"/>
    <col min="15362" max="15362" width="46.33203125" customWidth="1"/>
    <col min="15364" max="15364" width="11.44140625" customWidth="1"/>
    <col min="15365" max="15365" width="11.109375" customWidth="1"/>
    <col min="15617" max="15617" width="2" bestFit="1" customWidth="1"/>
    <col min="15618" max="15618" width="46.33203125" customWidth="1"/>
    <col min="15620" max="15620" width="11.44140625" customWidth="1"/>
    <col min="15621" max="15621" width="11.109375" customWidth="1"/>
    <col min="15873" max="15873" width="2" bestFit="1" customWidth="1"/>
    <col min="15874" max="15874" width="46.33203125" customWidth="1"/>
    <col min="15876" max="15876" width="11.44140625" customWidth="1"/>
    <col min="15877" max="15877" width="11.109375" customWidth="1"/>
    <col min="16129" max="16129" width="2" bestFit="1" customWidth="1"/>
    <col min="16130" max="16130" width="46.33203125" customWidth="1"/>
    <col min="16132" max="16132" width="11.44140625" customWidth="1"/>
    <col min="16133" max="16133" width="11.109375" customWidth="1"/>
  </cols>
  <sheetData>
    <row r="1" spans="1:11" x14ac:dyDescent="0.3">
      <c r="B1" s="34" t="s">
        <v>49</v>
      </c>
      <c r="C1" s="34"/>
    </row>
    <row r="2" spans="1:11" x14ac:dyDescent="0.3">
      <c r="B2" s="8" t="s">
        <v>50</v>
      </c>
      <c r="C2" s="1">
        <v>0.12</v>
      </c>
    </row>
    <row r="3" spans="1:11" x14ac:dyDescent="0.3">
      <c r="B3" s="8" t="s">
        <v>51</v>
      </c>
      <c r="C3" s="1">
        <v>12</v>
      </c>
    </row>
    <row r="4" spans="1:11" ht="21" x14ac:dyDescent="0.4">
      <c r="A4" s="41">
        <v>1</v>
      </c>
      <c r="B4" s="8" t="s">
        <v>52</v>
      </c>
      <c r="C4" s="42">
        <f>C2/C3</f>
        <v>0.01</v>
      </c>
    </row>
    <row r="6" spans="1:11" x14ac:dyDescent="0.3">
      <c r="B6" s="34" t="s">
        <v>53</v>
      </c>
      <c r="C6" s="34"/>
    </row>
    <row r="7" spans="1:11" x14ac:dyDescent="0.3">
      <c r="B7" s="8" t="s">
        <v>54</v>
      </c>
      <c r="C7" s="1">
        <v>5.0000000000000001E-3</v>
      </c>
    </row>
    <row r="8" spans="1:11" x14ac:dyDescent="0.3">
      <c r="B8" s="8" t="s">
        <v>39</v>
      </c>
      <c r="C8" s="3">
        <v>12</v>
      </c>
    </row>
    <row r="9" spans="1:11" ht="45.6" x14ac:dyDescent="0.4">
      <c r="A9" s="41">
        <v>2</v>
      </c>
      <c r="B9" s="8" t="s">
        <v>55</v>
      </c>
      <c r="C9" s="42">
        <f>C7*C8</f>
        <v>0.06</v>
      </c>
      <c r="D9" s="138" t="s">
        <v>307</v>
      </c>
      <c r="E9" s="138"/>
      <c r="F9" s="138"/>
      <c r="G9" s="138"/>
    </row>
    <row r="11" spans="1:11" x14ac:dyDescent="0.3">
      <c r="B11" s="34" t="s">
        <v>56</v>
      </c>
      <c r="C11" s="34"/>
    </row>
    <row r="12" spans="1:11" x14ac:dyDescent="0.3">
      <c r="B12" s="8" t="s">
        <v>57</v>
      </c>
      <c r="C12" s="1">
        <v>0.18</v>
      </c>
    </row>
    <row r="13" spans="1:11" x14ac:dyDescent="0.3">
      <c r="B13" s="8" t="s">
        <v>39</v>
      </c>
      <c r="C13" s="1">
        <v>12</v>
      </c>
    </row>
    <row r="14" spans="1:11" ht="44.4" x14ac:dyDescent="0.4">
      <c r="A14" s="41">
        <v>3</v>
      </c>
      <c r="B14" s="8" t="s">
        <v>253</v>
      </c>
      <c r="C14" s="42">
        <f>(1+C12/C13)^C13-1</f>
        <v>0.19561817146153326</v>
      </c>
      <c r="E14" s="43" t="str">
        <f>IF(C14="","","The Real Rate for n = 1 is actually "&amp;TEXT(C14,"0.00%")&amp;". However, it is ironic and untruthful to have the APR of "&amp;TEXT($C$12,"0.00%")&amp;" prominently displayed on all debt contracts.")</f>
        <v>The Real Rate for n = 1 is actually 19.56%. However, it is ironic and untruthful to have the APR of 18.00% prominently displayed on all debt contracts.</v>
      </c>
      <c r="F14" s="44"/>
      <c r="G14" s="44"/>
      <c r="H14" s="44"/>
      <c r="I14" s="44"/>
      <c r="J14" s="44"/>
      <c r="K14" s="44"/>
    </row>
    <row r="15" spans="1:11" ht="30" x14ac:dyDescent="0.3">
      <c r="B15" s="8" t="s">
        <v>58</v>
      </c>
      <c r="C15" s="42">
        <f>EFFECT(C12,C13)</f>
        <v>0.19561817146153326</v>
      </c>
    </row>
    <row r="17" spans="2:2" ht="57.6" x14ac:dyDescent="0.3">
      <c r="B17" s="137" t="s">
        <v>254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18"/>
  <sheetViews>
    <sheetView zoomScale="160" zoomScaleNormal="160" workbookViewId="0">
      <selection activeCell="B4" sqref="B4"/>
    </sheetView>
  </sheetViews>
  <sheetFormatPr defaultRowHeight="14.4" x14ac:dyDescent="0.3"/>
  <cols>
    <col min="1" max="1" width="46.33203125" style="10" customWidth="1"/>
    <col min="2" max="2" width="11" bestFit="1" customWidth="1"/>
    <col min="3" max="3" width="11.44140625" customWidth="1"/>
    <col min="4" max="4" width="14.44140625" bestFit="1" customWidth="1"/>
    <col min="5" max="5" width="10.21875" bestFit="1" customWidth="1"/>
    <col min="256" max="256" width="2" bestFit="1" customWidth="1"/>
    <col min="257" max="257" width="46.33203125" customWidth="1"/>
    <col min="259" max="259" width="11.44140625" customWidth="1"/>
    <col min="260" max="260" width="11.109375" customWidth="1"/>
    <col min="512" max="512" width="2" bestFit="1" customWidth="1"/>
    <col min="513" max="513" width="46.33203125" customWidth="1"/>
    <col min="515" max="515" width="11.44140625" customWidth="1"/>
    <col min="516" max="516" width="11.109375" customWidth="1"/>
    <col min="768" max="768" width="2" bestFit="1" customWidth="1"/>
    <col min="769" max="769" width="46.33203125" customWidth="1"/>
    <col min="771" max="771" width="11.44140625" customWidth="1"/>
    <col min="772" max="772" width="11.109375" customWidth="1"/>
    <col min="1024" max="1024" width="2" bestFit="1" customWidth="1"/>
    <col min="1025" max="1025" width="46.33203125" customWidth="1"/>
    <col min="1027" max="1027" width="11.44140625" customWidth="1"/>
    <col min="1028" max="1028" width="11.109375" customWidth="1"/>
    <col min="1280" max="1280" width="2" bestFit="1" customWidth="1"/>
    <col min="1281" max="1281" width="46.33203125" customWidth="1"/>
    <col min="1283" max="1283" width="11.44140625" customWidth="1"/>
    <col min="1284" max="1284" width="11.109375" customWidth="1"/>
    <col min="1536" max="1536" width="2" bestFit="1" customWidth="1"/>
    <col min="1537" max="1537" width="46.33203125" customWidth="1"/>
    <col min="1539" max="1539" width="11.44140625" customWidth="1"/>
    <col min="1540" max="1540" width="11.109375" customWidth="1"/>
    <col min="1792" max="1792" width="2" bestFit="1" customWidth="1"/>
    <col min="1793" max="1793" width="46.33203125" customWidth="1"/>
    <col min="1795" max="1795" width="11.44140625" customWidth="1"/>
    <col min="1796" max="1796" width="11.109375" customWidth="1"/>
    <col min="2048" max="2048" width="2" bestFit="1" customWidth="1"/>
    <col min="2049" max="2049" width="46.33203125" customWidth="1"/>
    <col min="2051" max="2051" width="11.44140625" customWidth="1"/>
    <col min="2052" max="2052" width="11.109375" customWidth="1"/>
    <col min="2304" max="2304" width="2" bestFit="1" customWidth="1"/>
    <col min="2305" max="2305" width="46.33203125" customWidth="1"/>
    <col min="2307" max="2307" width="11.44140625" customWidth="1"/>
    <col min="2308" max="2308" width="11.109375" customWidth="1"/>
    <col min="2560" max="2560" width="2" bestFit="1" customWidth="1"/>
    <col min="2561" max="2561" width="46.33203125" customWidth="1"/>
    <col min="2563" max="2563" width="11.44140625" customWidth="1"/>
    <col min="2564" max="2564" width="11.109375" customWidth="1"/>
    <col min="2816" max="2816" width="2" bestFit="1" customWidth="1"/>
    <col min="2817" max="2817" width="46.33203125" customWidth="1"/>
    <col min="2819" max="2819" width="11.44140625" customWidth="1"/>
    <col min="2820" max="2820" width="11.109375" customWidth="1"/>
    <col min="3072" max="3072" width="2" bestFit="1" customWidth="1"/>
    <col min="3073" max="3073" width="46.33203125" customWidth="1"/>
    <col min="3075" max="3075" width="11.44140625" customWidth="1"/>
    <col min="3076" max="3076" width="11.109375" customWidth="1"/>
    <col min="3328" max="3328" width="2" bestFit="1" customWidth="1"/>
    <col min="3329" max="3329" width="46.33203125" customWidth="1"/>
    <col min="3331" max="3331" width="11.44140625" customWidth="1"/>
    <col min="3332" max="3332" width="11.109375" customWidth="1"/>
    <col min="3584" max="3584" width="2" bestFit="1" customWidth="1"/>
    <col min="3585" max="3585" width="46.33203125" customWidth="1"/>
    <col min="3587" max="3587" width="11.44140625" customWidth="1"/>
    <col min="3588" max="3588" width="11.109375" customWidth="1"/>
    <col min="3840" max="3840" width="2" bestFit="1" customWidth="1"/>
    <col min="3841" max="3841" width="46.33203125" customWidth="1"/>
    <col min="3843" max="3843" width="11.44140625" customWidth="1"/>
    <col min="3844" max="3844" width="11.109375" customWidth="1"/>
    <col min="4096" max="4096" width="2" bestFit="1" customWidth="1"/>
    <col min="4097" max="4097" width="46.33203125" customWidth="1"/>
    <col min="4099" max="4099" width="11.44140625" customWidth="1"/>
    <col min="4100" max="4100" width="11.109375" customWidth="1"/>
    <col min="4352" max="4352" width="2" bestFit="1" customWidth="1"/>
    <col min="4353" max="4353" width="46.33203125" customWidth="1"/>
    <col min="4355" max="4355" width="11.44140625" customWidth="1"/>
    <col min="4356" max="4356" width="11.109375" customWidth="1"/>
    <col min="4608" max="4608" width="2" bestFit="1" customWidth="1"/>
    <col min="4609" max="4609" width="46.33203125" customWidth="1"/>
    <col min="4611" max="4611" width="11.44140625" customWidth="1"/>
    <col min="4612" max="4612" width="11.109375" customWidth="1"/>
    <col min="4864" max="4864" width="2" bestFit="1" customWidth="1"/>
    <col min="4865" max="4865" width="46.33203125" customWidth="1"/>
    <col min="4867" max="4867" width="11.44140625" customWidth="1"/>
    <col min="4868" max="4868" width="11.109375" customWidth="1"/>
    <col min="5120" max="5120" width="2" bestFit="1" customWidth="1"/>
    <col min="5121" max="5121" width="46.33203125" customWidth="1"/>
    <col min="5123" max="5123" width="11.44140625" customWidth="1"/>
    <col min="5124" max="5124" width="11.109375" customWidth="1"/>
    <col min="5376" max="5376" width="2" bestFit="1" customWidth="1"/>
    <col min="5377" max="5377" width="46.33203125" customWidth="1"/>
    <col min="5379" max="5379" width="11.44140625" customWidth="1"/>
    <col min="5380" max="5380" width="11.109375" customWidth="1"/>
    <col min="5632" max="5632" width="2" bestFit="1" customWidth="1"/>
    <col min="5633" max="5633" width="46.33203125" customWidth="1"/>
    <col min="5635" max="5635" width="11.44140625" customWidth="1"/>
    <col min="5636" max="5636" width="11.109375" customWidth="1"/>
    <col min="5888" max="5888" width="2" bestFit="1" customWidth="1"/>
    <col min="5889" max="5889" width="46.33203125" customWidth="1"/>
    <col min="5891" max="5891" width="11.44140625" customWidth="1"/>
    <col min="5892" max="5892" width="11.109375" customWidth="1"/>
    <col min="6144" max="6144" width="2" bestFit="1" customWidth="1"/>
    <col min="6145" max="6145" width="46.33203125" customWidth="1"/>
    <col min="6147" max="6147" width="11.44140625" customWidth="1"/>
    <col min="6148" max="6148" width="11.109375" customWidth="1"/>
    <col min="6400" max="6400" width="2" bestFit="1" customWidth="1"/>
    <col min="6401" max="6401" width="46.33203125" customWidth="1"/>
    <col min="6403" max="6403" width="11.44140625" customWidth="1"/>
    <col min="6404" max="6404" width="11.109375" customWidth="1"/>
    <col min="6656" max="6656" width="2" bestFit="1" customWidth="1"/>
    <col min="6657" max="6657" width="46.33203125" customWidth="1"/>
    <col min="6659" max="6659" width="11.44140625" customWidth="1"/>
    <col min="6660" max="6660" width="11.109375" customWidth="1"/>
    <col min="6912" max="6912" width="2" bestFit="1" customWidth="1"/>
    <col min="6913" max="6913" width="46.33203125" customWidth="1"/>
    <col min="6915" max="6915" width="11.44140625" customWidth="1"/>
    <col min="6916" max="6916" width="11.109375" customWidth="1"/>
    <col min="7168" max="7168" width="2" bestFit="1" customWidth="1"/>
    <col min="7169" max="7169" width="46.33203125" customWidth="1"/>
    <col min="7171" max="7171" width="11.44140625" customWidth="1"/>
    <col min="7172" max="7172" width="11.109375" customWidth="1"/>
    <col min="7424" max="7424" width="2" bestFit="1" customWidth="1"/>
    <col min="7425" max="7425" width="46.33203125" customWidth="1"/>
    <col min="7427" max="7427" width="11.44140625" customWidth="1"/>
    <col min="7428" max="7428" width="11.109375" customWidth="1"/>
    <col min="7680" max="7680" width="2" bestFit="1" customWidth="1"/>
    <col min="7681" max="7681" width="46.33203125" customWidth="1"/>
    <col min="7683" max="7683" width="11.44140625" customWidth="1"/>
    <col min="7684" max="7684" width="11.109375" customWidth="1"/>
    <col min="7936" max="7936" width="2" bestFit="1" customWidth="1"/>
    <col min="7937" max="7937" width="46.33203125" customWidth="1"/>
    <col min="7939" max="7939" width="11.44140625" customWidth="1"/>
    <col min="7940" max="7940" width="11.109375" customWidth="1"/>
    <col min="8192" max="8192" width="2" bestFit="1" customWidth="1"/>
    <col min="8193" max="8193" width="46.33203125" customWidth="1"/>
    <col min="8195" max="8195" width="11.44140625" customWidth="1"/>
    <col min="8196" max="8196" width="11.109375" customWidth="1"/>
    <col min="8448" max="8448" width="2" bestFit="1" customWidth="1"/>
    <col min="8449" max="8449" width="46.33203125" customWidth="1"/>
    <col min="8451" max="8451" width="11.44140625" customWidth="1"/>
    <col min="8452" max="8452" width="11.109375" customWidth="1"/>
    <col min="8704" max="8704" width="2" bestFit="1" customWidth="1"/>
    <col min="8705" max="8705" width="46.33203125" customWidth="1"/>
    <col min="8707" max="8707" width="11.44140625" customWidth="1"/>
    <col min="8708" max="8708" width="11.109375" customWidth="1"/>
    <col min="8960" max="8960" width="2" bestFit="1" customWidth="1"/>
    <col min="8961" max="8961" width="46.33203125" customWidth="1"/>
    <col min="8963" max="8963" width="11.44140625" customWidth="1"/>
    <col min="8964" max="8964" width="11.109375" customWidth="1"/>
    <col min="9216" max="9216" width="2" bestFit="1" customWidth="1"/>
    <col min="9217" max="9217" width="46.33203125" customWidth="1"/>
    <col min="9219" max="9219" width="11.44140625" customWidth="1"/>
    <col min="9220" max="9220" width="11.109375" customWidth="1"/>
    <col min="9472" max="9472" width="2" bestFit="1" customWidth="1"/>
    <col min="9473" max="9473" width="46.33203125" customWidth="1"/>
    <col min="9475" max="9475" width="11.44140625" customWidth="1"/>
    <col min="9476" max="9476" width="11.109375" customWidth="1"/>
    <col min="9728" max="9728" width="2" bestFit="1" customWidth="1"/>
    <col min="9729" max="9729" width="46.33203125" customWidth="1"/>
    <col min="9731" max="9731" width="11.44140625" customWidth="1"/>
    <col min="9732" max="9732" width="11.109375" customWidth="1"/>
    <col min="9984" max="9984" width="2" bestFit="1" customWidth="1"/>
    <col min="9985" max="9985" width="46.33203125" customWidth="1"/>
    <col min="9987" max="9987" width="11.44140625" customWidth="1"/>
    <col min="9988" max="9988" width="11.109375" customWidth="1"/>
    <col min="10240" max="10240" width="2" bestFit="1" customWidth="1"/>
    <col min="10241" max="10241" width="46.33203125" customWidth="1"/>
    <col min="10243" max="10243" width="11.44140625" customWidth="1"/>
    <col min="10244" max="10244" width="11.109375" customWidth="1"/>
    <col min="10496" max="10496" width="2" bestFit="1" customWidth="1"/>
    <col min="10497" max="10497" width="46.33203125" customWidth="1"/>
    <col min="10499" max="10499" width="11.44140625" customWidth="1"/>
    <col min="10500" max="10500" width="11.109375" customWidth="1"/>
    <col min="10752" max="10752" width="2" bestFit="1" customWidth="1"/>
    <col min="10753" max="10753" width="46.33203125" customWidth="1"/>
    <col min="10755" max="10755" width="11.44140625" customWidth="1"/>
    <col min="10756" max="10756" width="11.109375" customWidth="1"/>
    <col min="11008" max="11008" width="2" bestFit="1" customWidth="1"/>
    <col min="11009" max="11009" width="46.33203125" customWidth="1"/>
    <col min="11011" max="11011" width="11.44140625" customWidth="1"/>
    <col min="11012" max="11012" width="11.109375" customWidth="1"/>
    <col min="11264" max="11264" width="2" bestFit="1" customWidth="1"/>
    <col min="11265" max="11265" width="46.33203125" customWidth="1"/>
    <col min="11267" max="11267" width="11.44140625" customWidth="1"/>
    <col min="11268" max="11268" width="11.109375" customWidth="1"/>
    <col min="11520" max="11520" width="2" bestFit="1" customWidth="1"/>
    <col min="11521" max="11521" width="46.33203125" customWidth="1"/>
    <col min="11523" max="11523" width="11.44140625" customWidth="1"/>
    <col min="11524" max="11524" width="11.109375" customWidth="1"/>
    <col min="11776" max="11776" width="2" bestFit="1" customWidth="1"/>
    <col min="11777" max="11777" width="46.33203125" customWidth="1"/>
    <col min="11779" max="11779" width="11.44140625" customWidth="1"/>
    <col min="11780" max="11780" width="11.109375" customWidth="1"/>
    <col min="12032" max="12032" width="2" bestFit="1" customWidth="1"/>
    <col min="12033" max="12033" width="46.33203125" customWidth="1"/>
    <col min="12035" max="12035" width="11.44140625" customWidth="1"/>
    <col min="12036" max="12036" width="11.109375" customWidth="1"/>
    <col min="12288" max="12288" width="2" bestFit="1" customWidth="1"/>
    <col min="12289" max="12289" width="46.33203125" customWidth="1"/>
    <col min="12291" max="12291" width="11.44140625" customWidth="1"/>
    <col min="12292" max="12292" width="11.109375" customWidth="1"/>
    <col min="12544" max="12544" width="2" bestFit="1" customWidth="1"/>
    <col min="12545" max="12545" width="46.33203125" customWidth="1"/>
    <col min="12547" max="12547" width="11.44140625" customWidth="1"/>
    <col min="12548" max="12548" width="11.109375" customWidth="1"/>
    <col min="12800" max="12800" width="2" bestFit="1" customWidth="1"/>
    <col min="12801" max="12801" width="46.33203125" customWidth="1"/>
    <col min="12803" max="12803" width="11.44140625" customWidth="1"/>
    <col min="12804" max="12804" width="11.109375" customWidth="1"/>
    <col min="13056" max="13056" width="2" bestFit="1" customWidth="1"/>
    <col min="13057" max="13057" width="46.33203125" customWidth="1"/>
    <col min="13059" max="13059" width="11.44140625" customWidth="1"/>
    <col min="13060" max="13060" width="11.109375" customWidth="1"/>
    <col min="13312" max="13312" width="2" bestFit="1" customWidth="1"/>
    <col min="13313" max="13313" width="46.33203125" customWidth="1"/>
    <col min="13315" max="13315" width="11.44140625" customWidth="1"/>
    <col min="13316" max="13316" width="11.109375" customWidth="1"/>
    <col min="13568" max="13568" width="2" bestFit="1" customWidth="1"/>
    <col min="13569" max="13569" width="46.33203125" customWidth="1"/>
    <col min="13571" max="13571" width="11.44140625" customWidth="1"/>
    <col min="13572" max="13572" width="11.109375" customWidth="1"/>
    <col min="13824" max="13824" width="2" bestFit="1" customWidth="1"/>
    <col min="13825" max="13825" width="46.33203125" customWidth="1"/>
    <col min="13827" max="13827" width="11.44140625" customWidth="1"/>
    <col min="13828" max="13828" width="11.109375" customWidth="1"/>
    <col min="14080" max="14080" width="2" bestFit="1" customWidth="1"/>
    <col min="14081" max="14081" width="46.33203125" customWidth="1"/>
    <col min="14083" max="14083" width="11.44140625" customWidth="1"/>
    <col min="14084" max="14084" width="11.109375" customWidth="1"/>
    <col min="14336" max="14336" width="2" bestFit="1" customWidth="1"/>
    <col min="14337" max="14337" width="46.33203125" customWidth="1"/>
    <col min="14339" max="14339" width="11.44140625" customWidth="1"/>
    <col min="14340" max="14340" width="11.109375" customWidth="1"/>
    <col min="14592" max="14592" width="2" bestFit="1" customWidth="1"/>
    <col min="14593" max="14593" width="46.33203125" customWidth="1"/>
    <col min="14595" max="14595" width="11.44140625" customWidth="1"/>
    <col min="14596" max="14596" width="11.109375" customWidth="1"/>
    <col min="14848" max="14848" width="2" bestFit="1" customWidth="1"/>
    <col min="14849" max="14849" width="46.33203125" customWidth="1"/>
    <col min="14851" max="14851" width="11.44140625" customWidth="1"/>
    <col min="14852" max="14852" width="11.109375" customWidth="1"/>
    <col min="15104" max="15104" width="2" bestFit="1" customWidth="1"/>
    <col min="15105" max="15105" width="46.33203125" customWidth="1"/>
    <col min="15107" max="15107" width="11.44140625" customWidth="1"/>
    <col min="15108" max="15108" width="11.109375" customWidth="1"/>
    <col min="15360" max="15360" width="2" bestFit="1" customWidth="1"/>
    <col min="15361" max="15361" width="46.33203125" customWidth="1"/>
    <col min="15363" max="15363" width="11.44140625" customWidth="1"/>
    <col min="15364" max="15364" width="11.109375" customWidth="1"/>
    <col min="15616" max="15616" width="2" bestFit="1" customWidth="1"/>
    <col min="15617" max="15617" width="46.33203125" customWidth="1"/>
    <col min="15619" max="15619" width="11.44140625" customWidth="1"/>
    <col min="15620" max="15620" width="11.109375" customWidth="1"/>
    <col min="15872" max="15872" width="2" bestFit="1" customWidth="1"/>
    <col min="15873" max="15873" width="46.33203125" customWidth="1"/>
    <col min="15875" max="15875" width="11.44140625" customWidth="1"/>
    <col min="15876" max="15876" width="11.109375" customWidth="1"/>
    <col min="16128" max="16128" width="2" bestFit="1" customWidth="1"/>
    <col min="16129" max="16129" width="46.33203125" customWidth="1"/>
    <col min="16131" max="16131" width="11.44140625" customWidth="1"/>
    <col min="16132" max="16132" width="11.109375" customWidth="1"/>
  </cols>
  <sheetData>
    <row r="1" spans="1:2" x14ac:dyDescent="0.3">
      <c r="A1" s="34" t="s">
        <v>49</v>
      </c>
      <c r="B1" s="34"/>
    </row>
    <row r="2" spans="1:2" x14ac:dyDescent="0.3">
      <c r="A2" s="8" t="s">
        <v>256</v>
      </c>
      <c r="B2" s="1">
        <v>0.12</v>
      </c>
    </row>
    <row r="3" spans="1:2" x14ac:dyDescent="0.3">
      <c r="A3" s="8" t="s">
        <v>51</v>
      </c>
      <c r="B3" s="1">
        <v>12</v>
      </c>
    </row>
    <row r="4" spans="1:2" x14ac:dyDescent="0.3">
      <c r="A4" s="8" t="s">
        <v>257</v>
      </c>
      <c r="B4" s="42"/>
    </row>
    <row r="5" spans="1:2" x14ac:dyDescent="0.3">
      <c r="A5" s="8" t="s">
        <v>258</v>
      </c>
      <c r="B5" s="2"/>
    </row>
    <row r="6" spans="1:2" x14ac:dyDescent="0.3">
      <c r="A6"/>
    </row>
    <row r="7" spans="1:2" x14ac:dyDescent="0.3">
      <c r="A7" s="139" t="s">
        <v>255</v>
      </c>
    </row>
    <row r="8" spans="1:2" x14ac:dyDescent="0.3">
      <c r="A8" s="1" t="s">
        <v>259</v>
      </c>
      <c r="B8" s="1">
        <v>-1000</v>
      </c>
    </row>
    <row r="9" spans="1:2" x14ac:dyDescent="0.3">
      <c r="A9" s="1" t="str">
        <f>"FV APR &amp; n = "&amp;B3</f>
        <v>FV APR &amp; n = 12</v>
      </c>
      <c r="B9" s="135"/>
    </row>
    <row r="10" spans="1:2" x14ac:dyDescent="0.3">
      <c r="A10" s="1" t="str">
        <f>"FV EAR &amp; n = 1"</f>
        <v>FV EAR &amp; n = 1</v>
      </c>
      <c r="B10" s="135"/>
    </row>
    <row r="11" spans="1:2" x14ac:dyDescent="0.3">
      <c r="A11"/>
    </row>
    <row r="12" spans="1:2" x14ac:dyDescent="0.3">
      <c r="A12"/>
    </row>
    <row r="13" spans="1:2" x14ac:dyDescent="0.3">
      <c r="A13"/>
    </row>
    <row r="14" spans="1:2" x14ac:dyDescent="0.3">
      <c r="A14"/>
    </row>
    <row r="15" spans="1:2" x14ac:dyDescent="0.3">
      <c r="A15"/>
    </row>
    <row r="16" spans="1:2" ht="3" customHeight="1" x14ac:dyDescent="0.3">
      <c r="A16"/>
    </row>
    <row r="17" spans="1:1" x14ac:dyDescent="0.3">
      <c r="A17"/>
    </row>
    <row r="18" spans="1:1" x14ac:dyDescent="0.3">
      <c r="A1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8"/>
  <sheetViews>
    <sheetView zoomScale="145" zoomScaleNormal="145" workbookViewId="0">
      <selection activeCell="B4" sqref="B4"/>
    </sheetView>
  </sheetViews>
  <sheetFormatPr defaultRowHeight="14.4" x14ac:dyDescent="0.3"/>
  <cols>
    <col min="1" max="1" width="46.33203125" style="10" customWidth="1"/>
    <col min="2" max="2" width="11" bestFit="1" customWidth="1"/>
    <col min="3" max="3" width="11.44140625" customWidth="1"/>
    <col min="4" max="4" width="14.44140625" bestFit="1" customWidth="1"/>
    <col min="5" max="5" width="10.21875" bestFit="1" customWidth="1"/>
    <col min="256" max="256" width="2" bestFit="1" customWidth="1"/>
    <col min="257" max="257" width="46.33203125" customWidth="1"/>
    <col min="259" max="259" width="11.44140625" customWidth="1"/>
    <col min="260" max="260" width="11.109375" customWidth="1"/>
    <col min="512" max="512" width="2" bestFit="1" customWidth="1"/>
    <col min="513" max="513" width="46.33203125" customWidth="1"/>
    <col min="515" max="515" width="11.44140625" customWidth="1"/>
    <col min="516" max="516" width="11.109375" customWidth="1"/>
    <col min="768" max="768" width="2" bestFit="1" customWidth="1"/>
    <col min="769" max="769" width="46.33203125" customWidth="1"/>
    <col min="771" max="771" width="11.44140625" customWidth="1"/>
    <col min="772" max="772" width="11.109375" customWidth="1"/>
    <col min="1024" max="1024" width="2" bestFit="1" customWidth="1"/>
    <col min="1025" max="1025" width="46.33203125" customWidth="1"/>
    <col min="1027" max="1027" width="11.44140625" customWidth="1"/>
    <col min="1028" max="1028" width="11.109375" customWidth="1"/>
    <col min="1280" max="1280" width="2" bestFit="1" customWidth="1"/>
    <col min="1281" max="1281" width="46.33203125" customWidth="1"/>
    <col min="1283" max="1283" width="11.44140625" customWidth="1"/>
    <col min="1284" max="1284" width="11.109375" customWidth="1"/>
    <col min="1536" max="1536" width="2" bestFit="1" customWidth="1"/>
    <col min="1537" max="1537" width="46.33203125" customWidth="1"/>
    <col min="1539" max="1539" width="11.44140625" customWidth="1"/>
    <col min="1540" max="1540" width="11.109375" customWidth="1"/>
    <col min="1792" max="1792" width="2" bestFit="1" customWidth="1"/>
    <col min="1793" max="1793" width="46.33203125" customWidth="1"/>
    <col min="1795" max="1795" width="11.44140625" customWidth="1"/>
    <col min="1796" max="1796" width="11.109375" customWidth="1"/>
    <col min="2048" max="2048" width="2" bestFit="1" customWidth="1"/>
    <col min="2049" max="2049" width="46.33203125" customWidth="1"/>
    <col min="2051" max="2051" width="11.44140625" customWidth="1"/>
    <col min="2052" max="2052" width="11.109375" customWidth="1"/>
    <col min="2304" max="2304" width="2" bestFit="1" customWidth="1"/>
    <col min="2305" max="2305" width="46.33203125" customWidth="1"/>
    <col min="2307" max="2307" width="11.44140625" customWidth="1"/>
    <col min="2308" max="2308" width="11.109375" customWidth="1"/>
    <col min="2560" max="2560" width="2" bestFit="1" customWidth="1"/>
    <col min="2561" max="2561" width="46.33203125" customWidth="1"/>
    <col min="2563" max="2563" width="11.44140625" customWidth="1"/>
    <col min="2564" max="2564" width="11.109375" customWidth="1"/>
    <col min="2816" max="2816" width="2" bestFit="1" customWidth="1"/>
    <col min="2817" max="2817" width="46.33203125" customWidth="1"/>
    <col min="2819" max="2819" width="11.44140625" customWidth="1"/>
    <col min="2820" max="2820" width="11.109375" customWidth="1"/>
    <col min="3072" max="3072" width="2" bestFit="1" customWidth="1"/>
    <col min="3073" max="3073" width="46.33203125" customWidth="1"/>
    <col min="3075" max="3075" width="11.44140625" customWidth="1"/>
    <col min="3076" max="3076" width="11.109375" customWidth="1"/>
    <col min="3328" max="3328" width="2" bestFit="1" customWidth="1"/>
    <col min="3329" max="3329" width="46.33203125" customWidth="1"/>
    <col min="3331" max="3331" width="11.44140625" customWidth="1"/>
    <col min="3332" max="3332" width="11.109375" customWidth="1"/>
    <col min="3584" max="3584" width="2" bestFit="1" customWidth="1"/>
    <col min="3585" max="3585" width="46.33203125" customWidth="1"/>
    <col min="3587" max="3587" width="11.44140625" customWidth="1"/>
    <col min="3588" max="3588" width="11.109375" customWidth="1"/>
    <col min="3840" max="3840" width="2" bestFit="1" customWidth="1"/>
    <col min="3841" max="3841" width="46.33203125" customWidth="1"/>
    <col min="3843" max="3843" width="11.44140625" customWidth="1"/>
    <col min="3844" max="3844" width="11.109375" customWidth="1"/>
    <col min="4096" max="4096" width="2" bestFit="1" customWidth="1"/>
    <col min="4097" max="4097" width="46.33203125" customWidth="1"/>
    <col min="4099" max="4099" width="11.44140625" customWidth="1"/>
    <col min="4100" max="4100" width="11.109375" customWidth="1"/>
    <col min="4352" max="4352" width="2" bestFit="1" customWidth="1"/>
    <col min="4353" max="4353" width="46.33203125" customWidth="1"/>
    <col min="4355" max="4355" width="11.44140625" customWidth="1"/>
    <col min="4356" max="4356" width="11.109375" customWidth="1"/>
    <col min="4608" max="4608" width="2" bestFit="1" customWidth="1"/>
    <col min="4609" max="4609" width="46.33203125" customWidth="1"/>
    <col min="4611" max="4611" width="11.44140625" customWidth="1"/>
    <col min="4612" max="4612" width="11.109375" customWidth="1"/>
    <col min="4864" max="4864" width="2" bestFit="1" customWidth="1"/>
    <col min="4865" max="4865" width="46.33203125" customWidth="1"/>
    <col min="4867" max="4867" width="11.44140625" customWidth="1"/>
    <col min="4868" max="4868" width="11.109375" customWidth="1"/>
    <col min="5120" max="5120" width="2" bestFit="1" customWidth="1"/>
    <col min="5121" max="5121" width="46.33203125" customWidth="1"/>
    <col min="5123" max="5123" width="11.44140625" customWidth="1"/>
    <col min="5124" max="5124" width="11.109375" customWidth="1"/>
    <col min="5376" max="5376" width="2" bestFit="1" customWidth="1"/>
    <col min="5377" max="5377" width="46.33203125" customWidth="1"/>
    <col min="5379" max="5379" width="11.44140625" customWidth="1"/>
    <col min="5380" max="5380" width="11.109375" customWidth="1"/>
    <col min="5632" max="5632" width="2" bestFit="1" customWidth="1"/>
    <col min="5633" max="5633" width="46.33203125" customWidth="1"/>
    <col min="5635" max="5635" width="11.44140625" customWidth="1"/>
    <col min="5636" max="5636" width="11.109375" customWidth="1"/>
    <col min="5888" max="5888" width="2" bestFit="1" customWidth="1"/>
    <col min="5889" max="5889" width="46.33203125" customWidth="1"/>
    <col min="5891" max="5891" width="11.44140625" customWidth="1"/>
    <col min="5892" max="5892" width="11.109375" customWidth="1"/>
    <col min="6144" max="6144" width="2" bestFit="1" customWidth="1"/>
    <col min="6145" max="6145" width="46.33203125" customWidth="1"/>
    <col min="6147" max="6147" width="11.44140625" customWidth="1"/>
    <col min="6148" max="6148" width="11.109375" customWidth="1"/>
    <col min="6400" max="6400" width="2" bestFit="1" customWidth="1"/>
    <col min="6401" max="6401" width="46.33203125" customWidth="1"/>
    <col min="6403" max="6403" width="11.44140625" customWidth="1"/>
    <col min="6404" max="6404" width="11.109375" customWidth="1"/>
    <col min="6656" max="6656" width="2" bestFit="1" customWidth="1"/>
    <col min="6657" max="6657" width="46.33203125" customWidth="1"/>
    <col min="6659" max="6659" width="11.44140625" customWidth="1"/>
    <col min="6660" max="6660" width="11.109375" customWidth="1"/>
    <col min="6912" max="6912" width="2" bestFit="1" customWidth="1"/>
    <col min="6913" max="6913" width="46.33203125" customWidth="1"/>
    <col min="6915" max="6915" width="11.44140625" customWidth="1"/>
    <col min="6916" max="6916" width="11.109375" customWidth="1"/>
    <col min="7168" max="7168" width="2" bestFit="1" customWidth="1"/>
    <col min="7169" max="7169" width="46.33203125" customWidth="1"/>
    <col min="7171" max="7171" width="11.44140625" customWidth="1"/>
    <col min="7172" max="7172" width="11.109375" customWidth="1"/>
    <col min="7424" max="7424" width="2" bestFit="1" customWidth="1"/>
    <col min="7425" max="7425" width="46.33203125" customWidth="1"/>
    <col min="7427" max="7427" width="11.44140625" customWidth="1"/>
    <col min="7428" max="7428" width="11.109375" customWidth="1"/>
    <col min="7680" max="7680" width="2" bestFit="1" customWidth="1"/>
    <col min="7681" max="7681" width="46.33203125" customWidth="1"/>
    <col min="7683" max="7683" width="11.44140625" customWidth="1"/>
    <col min="7684" max="7684" width="11.109375" customWidth="1"/>
    <col min="7936" max="7936" width="2" bestFit="1" customWidth="1"/>
    <col min="7937" max="7937" width="46.33203125" customWidth="1"/>
    <col min="7939" max="7939" width="11.44140625" customWidth="1"/>
    <col min="7940" max="7940" width="11.109375" customWidth="1"/>
    <col min="8192" max="8192" width="2" bestFit="1" customWidth="1"/>
    <col min="8193" max="8193" width="46.33203125" customWidth="1"/>
    <col min="8195" max="8195" width="11.44140625" customWidth="1"/>
    <col min="8196" max="8196" width="11.109375" customWidth="1"/>
    <col min="8448" max="8448" width="2" bestFit="1" customWidth="1"/>
    <col min="8449" max="8449" width="46.33203125" customWidth="1"/>
    <col min="8451" max="8451" width="11.44140625" customWidth="1"/>
    <col min="8452" max="8452" width="11.109375" customWidth="1"/>
    <col min="8704" max="8704" width="2" bestFit="1" customWidth="1"/>
    <col min="8705" max="8705" width="46.33203125" customWidth="1"/>
    <col min="8707" max="8707" width="11.44140625" customWidth="1"/>
    <col min="8708" max="8708" width="11.109375" customWidth="1"/>
    <col min="8960" max="8960" width="2" bestFit="1" customWidth="1"/>
    <col min="8961" max="8961" width="46.33203125" customWidth="1"/>
    <col min="8963" max="8963" width="11.44140625" customWidth="1"/>
    <col min="8964" max="8964" width="11.109375" customWidth="1"/>
    <col min="9216" max="9216" width="2" bestFit="1" customWidth="1"/>
    <col min="9217" max="9217" width="46.33203125" customWidth="1"/>
    <col min="9219" max="9219" width="11.44140625" customWidth="1"/>
    <col min="9220" max="9220" width="11.109375" customWidth="1"/>
    <col min="9472" max="9472" width="2" bestFit="1" customWidth="1"/>
    <col min="9473" max="9473" width="46.33203125" customWidth="1"/>
    <col min="9475" max="9475" width="11.44140625" customWidth="1"/>
    <col min="9476" max="9476" width="11.109375" customWidth="1"/>
    <col min="9728" max="9728" width="2" bestFit="1" customWidth="1"/>
    <col min="9729" max="9729" width="46.33203125" customWidth="1"/>
    <col min="9731" max="9731" width="11.44140625" customWidth="1"/>
    <col min="9732" max="9732" width="11.109375" customWidth="1"/>
    <col min="9984" max="9984" width="2" bestFit="1" customWidth="1"/>
    <col min="9985" max="9985" width="46.33203125" customWidth="1"/>
    <col min="9987" max="9987" width="11.44140625" customWidth="1"/>
    <col min="9988" max="9988" width="11.109375" customWidth="1"/>
    <col min="10240" max="10240" width="2" bestFit="1" customWidth="1"/>
    <col min="10241" max="10241" width="46.33203125" customWidth="1"/>
    <col min="10243" max="10243" width="11.44140625" customWidth="1"/>
    <col min="10244" max="10244" width="11.109375" customWidth="1"/>
    <col min="10496" max="10496" width="2" bestFit="1" customWidth="1"/>
    <col min="10497" max="10497" width="46.33203125" customWidth="1"/>
    <col min="10499" max="10499" width="11.44140625" customWidth="1"/>
    <col min="10500" max="10500" width="11.109375" customWidth="1"/>
    <col min="10752" max="10752" width="2" bestFit="1" customWidth="1"/>
    <col min="10753" max="10753" width="46.33203125" customWidth="1"/>
    <col min="10755" max="10755" width="11.44140625" customWidth="1"/>
    <col min="10756" max="10756" width="11.109375" customWidth="1"/>
    <col min="11008" max="11008" width="2" bestFit="1" customWidth="1"/>
    <col min="11009" max="11009" width="46.33203125" customWidth="1"/>
    <col min="11011" max="11011" width="11.44140625" customWidth="1"/>
    <col min="11012" max="11012" width="11.109375" customWidth="1"/>
    <col min="11264" max="11264" width="2" bestFit="1" customWidth="1"/>
    <col min="11265" max="11265" width="46.33203125" customWidth="1"/>
    <col min="11267" max="11267" width="11.44140625" customWidth="1"/>
    <col min="11268" max="11268" width="11.109375" customWidth="1"/>
    <col min="11520" max="11520" width="2" bestFit="1" customWidth="1"/>
    <col min="11521" max="11521" width="46.33203125" customWidth="1"/>
    <col min="11523" max="11523" width="11.44140625" customWidth="1"/>
    <col min="11524" max="11524" width="11.109375" customWidth="1"/>
    <col min="11776" max="11776" width="2" bestFit="1" customWidth="1"/>
    <col min="11777" max="11777" width="46.33203125" customWidth="1"/>
    <col min="11779" max="11779" width="11.44140625" customWidth="1"/>
    <col min="11780" max="11780" width="11.109375" customWidth="1"/>
    <col min="12032" max="12032" width="2" bestFit="1" customWidth="1"/>
    <col min="12033" max="12033" width="46.33203125" customWidth="1"/>
    <col min="12035" max="12035" width="11.44140625" customWidth="1"/>
    <col min="12036" max="12036" width="11.109375" customWidth="1"/>
    <col min="12288" max="12288" width="2" bestFit="1" customWidth="1"/>
    <col min="12289" max="12289" width="46.33203125" customWidth="1"/>
    <col min="12291" max="12291" width="11.44140625" customWidth="1"/>
    <col min="12292" max="12292" width="11.109375" customWidth="1"/>
    <col min="12544" max="12544" width="2" bestFit="1" customWidth="1"/>
    <col min="12545" max="12545" width="46.33203125" customWidth="1"/>
    <col min="12547" max="12547" width="11.44140625" customWidth="1"/>
    <col min="12548" max="12548" width="11.109375" customWidth="1"/>
    <col min="12800" max="12800" width="2" bestFit="1" customWidth="1"/>
    <col min="12801" max="12801" width="46.33203125" customWidth="1"/>
    <col min="12803" max="12803" width="11.44140625" customWidth="1"/>
    <col min="12804" max="12804" width="11.109375" customWidth="1"/>
    <col min="13056" max="13056" width="2" bestFit="1" customWidth="1"/>
    <col min="13057" max="13057" width="46.33203125" customWidth="1"/>
    <col min="13059" max="13059" width="11.44140625" customWidth="1"/>
    <col min="13060" max="13060" width="11.109375" customWidth="1"/>
    <col min="13312" max="13312" width="2" bestFit="1" customWidth="1"/>
    <col min="13313" max="13313" width="46.33203125" customWidth="1"/>
    <col min="13315" max="13315" width="11.44140625" customWidth="1"/>
    <col min="13316" max="13316" width="11.109375" customWidth="1"/>
    <col min="13568" max="13568" width="2" bestFit="1" customWidth="1"/>
    <col min="13569" max="13569" width="46.33203125" customWidth="1"/>
    <col min="13571" max="13571" width="11.44140625" customWidth="1"/>
    <col min="13572" max="13572" width="11.109375" customWidth="1"/>
    <col min="13824" max="13824" width="2" bestFit="1" customWidth="1"/>
    <col min="13825" max="13825" width="46.33203125" customWidth="1"/>
    <col min="13827" max="13827" width="11.44140625" customWidth="1"/>
    <col min="13828" max="13828" width="11.109375" customWidth="1"/>
    <col min="14080" max="14080" width="2" bestFit="1" customWidth="1"/>
    <col min="14081" max="14081" width="46.33203125" customWidth="1"/>
    <col min="14083" max="14083" width="11.44140625" customWidth="1"/>
    <col min="14084" max="14084" width="11.109375" customWidth="1"/>
    <col min="14336" max="14336" width="2" bestFit="1" customWidth="1"/>
    <col min="14337" max="14337" width="46.33203125" customWidth="1"/>
    <col min="14339" max="14339" width="11.44140625" customWidth="1"/>
    <col min="14340" max="14340" width="11.109375" customWidth="1"/>
    <col min="14592" max="14592" width="2" bestFit="1" customWidth="1"/>
    <col min="14593" max="14593" width="46.33203125" customWidth="1"/>
    <col min="14595" max="14595" width="11.44140625" customWidth="1"/>
    <col min="14596" max="14596" width="11.109375" customWidth="1"/>
    <col min="14848" max="14848" width="2" bestFit="1" customWidth="1"/>
    <col min="14849" max="14849" width="46.33203125" customWidth="1"/>
    <col min="14851" max="14851" width="11.44140625" customWidth="1"/>
    <col min="14852" max="14852" width="11.109375" customWidth="1"/>
    <col min="15104" max="15104" width="2" bestFit="1" customWidth="1"/>
    <col min="15105" max="15105" width="46.33203125" customWidth="1"/>
    <col min="15107" max="15107" width="11.44140625" customWidth="1"/>
    <col min="15108" max="15108" width="11.109375" customWidth="1"/>
    <col min="15360" max="15360" width="2" bestFit="1" customWidth="1"/>
    <col min="15361" max="15361" width="46.33203125" customWidth="1"/>
    <col min="15363" max="15363" width="11.44140625" customWidth="1"/>
    <col min="15364" max="15364" width="11.109375" customWidth="1"/>
    <col min="15616" max="15616" width="2" bestFit="1" customWidth="1"/>
    <col min="15617" max="15617" width="46.33203125" customWidth="1"/>
    <col min="15619" max="15619" width="11.44140625" customWidth="1"/>
    <col min="15620" max="15620" width="11.109375" customWidth="1"/>
    <col min="15872" max="15872" width="2" bestFit="1" customWidth="1"/>
    <col min="15873" max="15873" width="46.33203125" customWidth="1"/>
    <col min="15875" max="15875" width="11.44140625" customWidth="1"/>
    <col min="15876" max="15876" width="11.109375" customWidth="1"/>
    <col min="16128" max="16128" width="2" bestFit="1" customWidth="1"/>
    <col min="16129" max="16129" width="46.33203125" customWidth="1"/>
    <col min="16131" max="16131" width="11.44140625" customWidth="1"/>
    <col min="16132" max="16132" width="11.109375" customWidth="1"/>
  </cols>
  <sheetData>
    <row r="1" spans="1:2" x14ac:dyDescent="0.3">
      <c r="A1" s="34" t="s">
        <v>49</v>
      </c>
      <c r="B1" s="34"/>
    </row>
    <row r="2" spans="1:2" x14ac:dyDescent="0.3">
      <c r="A2" s="8" t="s">
        <v>256</v>
      </c>
      <c r="B2" s="1">
        <v>0.12</v>
      </c>
    </row>
    <row r="3" spans="1:2" x14ac:dyDescent="0.3">
      <c r="A3" s="8" t="s">
        <v>51</v>
      </c>
      <c r="B3" s="1">
        <v>12</v>
      </c>
    </row>
    <row r="4" spans="1:2" x14ac:dyDescent="0.3">
      <c r="A4" s="8" t="s">
        <v>257</v>
      </c>
      <c r="B4" s="42">
        <f>B2/B3</f>
        <v>0.01</v>
      </c>
    </row>
    <row r="5" spans="1:2" x14ac:dyDescent="0.3">
      <c r="A5" s="8" t="s">
        <v>258</v>
      </c>
      <c r="B5" s="2">
        <f>(1+B4)^B3-1</f>
        <v>0.12682503013196977</v>
      </c>
    </row>
    <row r="6" spans="1:2" x14ac:dyDescent="0.3">
      <c r="A6"/>
    </row>
    <row r="7" spans="1:2" x14ac:dyDescent="0.3">
      <c r="A7" s="139" t="s">
        <v>255</v>
      </c>
    </row>
    <row r="8" spans="1:2" x14ac:dyDescent="0.3">
      <c r="A8" s="1" t="s">
        <v>259</v>
      </c>
      <c r="B8" s="1">
        <v>-1000</v>
      </c>
    </row>
    <row r="9" spans="1:2" x14ac:dyDescent="0.3">
      <c r="A9" s="1" t="str">
        <f>"FV APR &amp; n = "&amp;B3</f>
        <v>FV APR &amp; n = 12</v>
      </c>
      <c r="B9" s="135">
        <f>FV(B4,B3,,B8)</f>
        <v>1126.8250301319697</v>
      </c>
    </row>
    <row r="10" spans="1:2" x14ac:dyDescent="0.3">
      <c r="A10" s="1" t="str">
        <f>"FV EAR &amp; n = 1"</f>
        <v>FV EAR &amp; n = 1</v>
      </c>
      <c r="B10" s="135">
        <f>FV(B5,1,,B8)</f>
        <v>1126.8250301319697</v>
      </c>
    </row>
    <row r="11" spans="1:2" x14ac:dyDescent="0.3">
      <c r="A11"/>
    </row>
    <row r="12" spans="1:2" x14ac:dyDescent="0.3">
      <c r="A12"/>
    </row>
    <row r="13" spans="1:2" x14ac:dyDescent="0.3">
      <c r="A13"/>
    </row>
    <row r="14" spans="1:2" x14ac:dyDescent="0.3">
      <c r="A14"/>
    </row>
    <row r="15" spans="1:2" x14ac:dyDescent="0.3">
      <c r="A15"/>
    </row>
    <row r="16" spans="1:2" ht="3" customHeight="1" x14ac:dyDescent="0.3">
      <c r="A16"/>
    </row>
    <row r="17" spans="1:1" x14ac:dyDescent="0.3">
      <c r="A17"/>
    </row>
    <row r="18" spans="1:1" x14ac:dyDescent="0.3">
      <c r="A1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10"/>
  <sheetViews>
    <sheetView zoomScale="130" zoomScaleNormal="130" workbookViewId="0">
      <selection activeCell="B6" sqref="B6"/>
    </sheetView>
  </sheetViews>
  <sheetFormatPr defaultRowHeight="14.4" x14ac:dyDescent="0.3"/>
  <cols>
    <col min="1" max="1" width="18.5546875" customWidth="1"/>
    <col min="2" max="2" width="19.33203125" customWidth="1"/>
    <col min="257" max="258" width="18.5546875" customWidth="1"/>
    <col min="513" max="514" width="18.5546875" customWidth="1"/>
    <col min="769" max="770" width="18.5546875" customWidth="1"/>
    <col min="1025" max="1026" width="18.5546875" customWidth="1"/>
    <col min="1281" max="1282" width="18.5546875" customWidth="1"/>
    <col min="1537" max="1538" width="18.5546875" customWidth="1"/>
    <col min="1793" max="1794" width="18.5546875" customWidth="1"/>
    <col min="2049" max="2050" width="18.5546875" customWidth="1"/>
    <col min="2305" max="2306" width="18.5546875" customWidth="1"/>
    <col min="2561" max="2562" width="18.5546875" customWidth="1"/>
    <col min="2817" max="2818" width="18.5546875" customWidth="1"/>
    <col min="3073" max="3074" width="18.5546875" customWidth="1"/>
    <col min="3329" max="3330" width="18.5546875" customWidth="1"/>
    <col min="3585" max="3586" width="18.5546875" customWidth="1"/>
    <col min="3841" max="3842" width="18.5546875" customWidth="1"/>
    <col min="4097" max="4098" width="18.5546875" customWidth="1"/>
    <col min="4353" max="4354" width="18.5546875" customWidth="1"/>
    <col min="4609" max="4610" width="18.5546875" customWidth="1"/>
    <col min="4865" max="4866" width="18.5546875" customWidth="1"/>
    <col min="5121" max="5122" width="18.5546875" customWidth="1"/>
    <col min="5377" max="5378" width="18.5546875" customWidth="1"/>
    <col min="5633" max="5634" width="18.5546875" customWidth="1"/>
    <col min="5889" max="5890" width="18.5546875" customWidth="1"/>
    <col min="6145" max="6146" width="18.5546875" customWidth="1"/>
    <col min="6401" max="6402" width="18.5546875" customWidth="1"/>
    <col min="6657" max="6658" width="18.5546875" customWidth="1"/>
    <col min="6913" max="6914" width="18.5546875" customWidth="1"/>
    <col min="7169" max="7170" width="18.5546875" customWidth="1"/>
    <col min="7425" max="7426" width="18.5546875" customWidth="1"/>
    <col min="7681" max="7682" width="18.5546875" customWidth="1"/>
    <col min="7937" max="7938" width="18.5546875" customWidth="1"/>
    <col min="8193" max="8194" width="18.5546875" customWidth="1"/>
    <col min="8449" max="8450" width="18.5546875" customWidth="1"/>
    <col min="8705" max="8706" width="18.5546875" customWidth="1"/>
    <col min="8961" max="8962" width="18.5546875" customWidth="1"/>
    <col min="9217" max="9218" width="18.5546875" customWidth="1"/>
    <col min="9473" max="9474" width="18.5546875" customWidth="1"/>
    <col min="9729" max="9730" width="18.5546875" customWidth="1"/>
    <col min="9985" max="9986" width="18.5546875" customWidth="1"/>
    <col min="10241" max="10242" width="18.5546875" customWidth="1"/>
    <col min="10497" max="10498" width="18.5546875" customWidth="1"/>
    <col min="10753" max="10754" width="18.5546875" customWidth="1"/>
    <col min="11009" max="11010" width="18.5546875" customWidth="1"/>
    <col min="11265" max="11266" width="18.5546875" customWidth="1"/>
    <col min="11521" max="11522" width="18.5546875" customWidth="1"/>
    <col min="11777" max="11778" width="18.5546875" customWidth="1"/>
    <col min="12033" max="12034" width="18.5546875" customWidth="1"/>
    <col min="12289" max="12290" width="18.5546875" customWidth="1"/>
    <col min="12545" max="12546" width="18.5546875" customWidth="1"/>
    <col min="12801" max="12802" width="18.5546875" customWidth="1"/>
    <col min="13057" max="13058" width="18.5546875" customWidth="1"/>
    <col min="13313" max="13314" width="18.5546875" customWidth="1"/>
    <col min="13569" max="13570" width="18.5546875" customWidth="1"/>
    <col min="13825" max="13826" width="18.5546875" customWidth="1"/>
    <col min="14081" max="14082" width="18.5546875" customWidth="1"/>
    <col min="14337" max="14338" width="18.5546875" customWidth="1"/>
    <col min="14593" max="14594" width="18.5546875" customWidth="1"/>
    <col min="14849" max="14850" width="18.5546875" customWidth="1"/>
    <col min="15105" max="15106" width="18.5546875" customWidth="1"/>
    <col min="15361" max="15362" width="18.5546875" customWidth="1"/>
    <col min="15617" max="15618" width="18.5546875" customWidth="1"/>
    <col min="15873" max="15874" width="18.5546875" customWidth="1"/>
    <col min="16129" max="16130" width="18.5546875" customWidth="1"/>
  </cols>
  <sheetData>
    <row r="1" spans="1:2" ht="57.6" x14ac:dyDescent="0.3">
      <c r="A1" s="34" t="str">
        <f>"Example 17: Which APR yeilds more interest: "&amp;TEXT(B2,"0.00%")&amp;" compounded "&amp;B3&amp;" times a year, or, "&amp;TEXT(B4,"0.00%")&amp;" compounded "&amp;B5&amp;" times a year?"</f>
        <v>Example 17: Which APR yeilds more interest: 11.00% compounded 4 times a year, or, 10.75% compounded 365 times a year?</v>
      </c>
      <c r="B1" s="34"/>
    </row>
    <row r="2" spans="1:2" ht="15.6" x14ac:dyDescent="0.35">
      <c r="A2" s="8" t="s">
        <v>59</v>
      </c>
      <c r="B2" s="45">
        <v>0.11</v>
      </c>
    </row>
    <row r="3" spans="1:2" ht="15.6" x14ac:dyDescent="0.35">
      <c r="A3" s="8" t="s">
        <v>60</v>
      </c>
      <c r="B3" s="1">
        <v>4</v>
      </c>
    </row>
    <row r="4" spans="1:2" ht="15.6" x14ac:dyDescent="0.35">
      <c r="A4" s="8" t="s">
        <v>61</v>
      </c>
      <c r="B4" s="45">
        <v>0.1075</v>
      </c>
    </row>
    <row r="5" spans="1:2" ht="15.6" x14ac:dyDescent="0.35">
      <c r="A5" s="8" t="s">
        <v>62</v>
      </c>
      <c r="B5" s="1">
        <v>365</v>
      </c>
    </row>
    <row r="6" spans="1:2" ht="15.6" x14ac:dyDescent="0.35">
      <c r="A6" s="8" t="s">
        <v>63</v>
      </c>
      <c r="B6" s="42"/>
    </row>
    <row r="7" spans="1:2" ht="15.6" x14ac:dyDescent="0.35">
      <c r="A7" s="8" t="s">
        <v>64</v>
      </c>
      <c r="B7" s="42"/>
    </row>
    <row r="9" spans="1:2" ht="15.6" x14ac:dyDescent="0.35">
      <c r="A9" s="8" t="s">
        <v>63</v>
      </c>
      <c r="B9" s="42"/>
    </row>
    <row r="10" spans="1:2" ht="15.6" x14ac:dyDescent="0.35">
      <c r="A10" s="8" t="s">
        <v>64</v>
      </c>
      <c r="B10" s="4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
  <sheetViews>
    <sheetView zoomScale="130" zoomScaleNormal="130" workbookViewId="0">
      <selection activeCell="B6" sqref="B6"/>
    </sheetView>
  </sheetViews>
  <sheetFormatPr defaultRowHeight="14.4" x14ac:dyDescent="0.3"/>
  <cols>
    <col min="1" max="2" width="18.5546875" customWidth="1"/>
    <col min="257" max="258" width="18.5546875" customWidth="1"/>
    <col min="513" max="514" width="18.5546875" customWidth="1"/>
    <col min="769" max="770" width="18.5546875" customWidth="1"/>
    <col min="1025" max="1026" width="18.5546875" customWidth="1"/>
    <col min="1281" max="1282" width="18.5546875" customWidth="1"/>
    <col min="1537" max="1538" width="18.5546875" customWidth="1"/>
    <col min="1793" max="1794" width="18.5546875" customWidth="1"/>
    <col min="2049" max="2050" width="18.5546875" customWidth="1"/>
    <col min="2305" max="2306" width="18.5546875" customWidth="1"/>
    <col min="2561" max="2562" width="18.5546875" customWidth="1"/>
    <col min="2817" max="2818" width="18.5546875" customWidth="1"/>
    <col min="3073" max="3074" width="18.5546875" customWidth="1"/>
    <col min="3329" max="3330" width="18.5546875" customWidth="1"/>
    <col min="3585" max="3586" width="18.5546875" customWidth="1"/>
    <col min="3841" max="3842" width="18.5546875" customWidth="1"/>
    <col min="4097" max="4098" width="18.5546875" customWidth="1"/>
    <col min="4353" max="4354" width="18.5546875" customWidth="1"/>
    <col min="4609" max="4610" width="18.5546875" customWidth="1"/>
    <col min="4865" max="4866" width="18.5546875" customWidth="1"/>
    <col min="5121" max="5122" width="18.5546875" customWidth="1"/>
    <col min="5377" max="5378" width="18.5546875" customWidth="1"/>
    <col min="5633" max="5634" width="18.5546875" customWidth="1"/>
    <col min="5889" max="5890" width="18.5546875" customWidth="1"/>
    <col min="6145" max="6146" width="18.5546875" customWidth="1"/>
    <col min="6401" max="6402" width="18.5546875" customWidth="1"/>
    <col min="6657" max="6658" width="18.5546875" customWidth="1"/>
    <col min="6913" max="6914" width="18.5546875" customWidth="1"/>
    <col min="7169" max="7170" width="18.5546875" customWidth="1"/>
    <col min="7425" max="7426" width="18.5546875" customWidth="1"/>
    <col min="7681" max="7682" width="18.5546875" customWidth="1"/>
    <col min="7937" max="7938" width="18.5546875" customWidth="1"/>
    <col min="8193" max="8194" width="18.5546875" customWidth="1"/>
    <col min="8449" max="8450" width="18.5546875" customWidth="1"/>
    <col min="8705" max="8706" width="18.5546875" customWidth="1"/>
    <col min="8961" max="8962" width="18.5546875" customWidth="1"/>
    <col min="9217" max="9218" width="18.5546875" customWidth="1"/>
    <col min="9473" max="9474" width="18.5546875" customWidth="1"/>
    <col min="9729" max="9730" width="18.5546875" customWidth="1"/>
    <col min="9985" max="9986" width="18.5546875" customWidth="1"/>
    <col min="10241" max="10242" width="18.5546875" customWidth="1"/>
    <col min="10497" max="10498" width="18.5546875" customWidth="1"/>
    <col min="10753" max="10754" width="18.5546875" customWidth="1"/>
    <col min="11009" max="11010" width="18.5546875" customWidth="1"/>
    <col min="11265" max="11266" width="18.5546875" customWidth="1"/>
    <col min="11521" max="11522" width="18.5546875" customWidth="1"/>
    <col min="11777" max="11778" width="18.5546875" customWidth="1"/>
    <col min="12033" max="12034" width="18.5546875" customWidth="1"/>
    <col min="12289" max="12290" width="18.5546875" customWidth="1"/>
    <col min="12545" max="12546" width="18.5546875" customWidth="1"/>
    <col min="12801" max="12802" width="18.5546875" customWidth="1"/>
    <col min="13057" max="13058" width="18.5546875" customWidth="1"/>
    <col min="13313" max="13314" width="18.5546875" customWidth="1"/>
    <col min="13569" max="13570" width="18.5546875" customWidth="1"/>
    <col min="13825" max="13826" width="18.5546875" customWidth="1"/>
    <col min="14081" max="14082" width="18.5546875" customWidth="1"/>
    <col min="14337" max="14338" width="18.5546875" customWidth="1"/>
    <col min="14593" max="14594" width="18.5546875" customWidth="1"/>
    <col min="14849" max="14850" width="18.5546875" customWidth="1"/>
    <col min="15105" max="15106" width="18.5546875" customWidth="1"/>
    <col min="15361" max="15362" width="18.5546875" customWidth="1"/>
    <col min="15617" max="15618" width="18.5546875" customWidth="1"/>
    <col min="15873" max="15874" width="18.5546875" customWidth="1"/>
    <col min="16129" max="16130" width="18.5546875" customWidth="1"/>
  </cols>
  <sheetData>
    <row r="1" spans="1:8" ht="57.6" x14ac:dyDescent="0.3">
      <c r="A1" s="34" t="str">
        <f>"Example 17: Which APR yeilds more interest: "&amp;TEXT(B2,"0.00%")&amp;" compounded "&amp;B3&amp;" times a year, or, "&amp;TEXT(B4,"0.00%")&amp;" compounded "&amp;B5&amp;" times a year?"</f>
        <v>Example 17: Which APR yeilds more interest: 11.00% compounded 4 times a year, or, 10.75% compounded 365 times a year?</v>
      </c>
      <c r="B1" s="34"/>
    </row>
    <row r="2" spans="1:8" ht="15.6" x14ac:dyDescent="0.35">
      <c r="A2" s="8" t="s">
        <v>59</v>
      </c>
      <c r="B2" s="45">
        <v>0.11</v>
      </c>
    </row>
    <row r="3" spans="1:8" ht="15.6" x14ac:dyDescent="0.35">
      <c r="A3" s="8" t="s">
        <v>60</v>
      </c>
      <c r="B3" s="1">
        <v>4</v>
      </c>
    </row>
    <row r="4" spans="1:8" ht="15.6" x14ac:dyDescent="0.35">
      <c r="A4" s="8" t="s">
        <v>61</v>
      </c>
      <c r="B4" s="45">
        <v>0.1075</v>
      </c>
    </row>
    <row r="5" spans="1:8" ht="15.6" x14ac:dyDescent="0.35">
      <c r="A5" s="8" t="s">
        <v>62</v>
      </c>
      <c r="B5" s="1">
        <v>365</v>
      </c>
    </row>
    <row r="6" spans="1:8" ht="29.4" x14ac:dyDescent="0.35">
      <c r="A6" s="8" t="s">
        <v>63</v>
      </c>
      <c r="B6" s="42">
        <f>(1+B2/B3)^B3-1</f>
        <v>0.11462125941406276</v>
      </c>
      <c r="C6" s="46" t="s">
        <v>75</v>
      </c>
      <c r="D6" s="47"/>
      <c r="E6" s="47"/>
      <c r="F6" s="47"/>
      <c r="G6" s="47"/>
      <c r="H6" s="48"/>
    </row>
    <row r="7" spans="1:8" ht="15.6" x14ac:dyDescent="0.35">
      <c r="A7" s="8" t="s">
        <v>64</v>
      </c>
      <c r="B7" s="42">
        <f>(1+B4/B5)^B5-1</f>
        <v>0.11347323725207437</v>
      </c>
    </row>
    <row r="9" spans="1:8" ht="15.6" x14ac:dyDescent="0.35">
      <c r="A9" s="8" t="s">
        <v>63</v>
      </c>
      <c r="B9" s="42">
        <f>EFFECT(B2,B3)</f>
        <v>0.11462125941406276</v>
      </c>
    </row>
    <row r="10" spans="1:8" ht="15.6" x14ac:dyDescent="0.35">
      <c r="A10" s="8" t="s">
        <v>64</v>
      </c>
      <c r="B10" s="42">
        <f>EFFECT(B4,B5)</f>
        <v>0.11347323725207437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3"/>
  <sheetViews>
    <sheetView zoomScale="130" zoomScaleNormal="130" workbookViewId="0">
      <selection activeCell="B7" sqref="B7"/>
    </sheetView>
  </sheetViews>
  <sheetFormatPr defaultRowHeight="14.4" x14ac:dyDescent="0.3"/>
  <cols>
    <col min="1" max="1" width="27.33203125" bestFit="1" customWidth="1"/>
    <col min="2" max="2" width="14.88671875" customWidth="1"/>
    <col min="257" max="257" width="27.33203125" bestFit="1" customWidth="1"/>
    <col min="258" max="258" width="10.6640625" bestFit="1" customWidth="1"/>
    <col min="513" max="513" width="27.33203125" bestFit="1" customWidth="1"/>
    <col min="514" max="514" width="10.6640625" bestFit="1" customWidth="1"/>
    <col min="769" max="769" width="27.33203125" bestFit="1" customWidth="1"/>
    <col min="770" max="770" width="10.6640625" bestFit="1" customWidth="1"/>
    <col min="1025" max="1025" width="27.33203125" bestFit="1" customWidth="1"/>
    <col min="1026" max="1026" width="10.6640625" bestFit="1" customWidth="1"/>
    <col min="1281" max="1281" width="27.33203125" bestFit="1" customWidth="1"/>
    <col min="1282" max="1282" width="10.6640625" bestFit="1" customWidth="1"/>
    <col min="1537" max="1537" width="27.33203125" bestFit="1" customWidth="1"/>
    <col min="1538" max="1538" width="10.6640625" bestFit="1" customWidth="1"/>
    <col min="1793" max="1793" width="27.33203125" bestFit="1" customWidth="1"/>
    <col min="1794" max="1794" width="10.6640625" bestFit="1" customWidth="1"/>
    <col min="2049" max="2049" width="27.33203125" bestFit="1" customWidth="1"/>
    <col min="2050" max="2050" width="10.6640625" bestFit="1" customWidth="1"/>
    <col min="2305" max="2305" width="27.33203125" bestFit="1" customWidth="1"/>
    <col min="2306" max="2306" width="10.6640625" bestFit="1" customWidth="1"/>
    <col min="2561" max="2561" width="27.33203125" bestFit="1" customWidth="1"/>
    <col min="2562" max="2562" width="10.6640625" bestFit="1" customWidth="1"/>
    <col min="2817" max="2817" width="27.33203125" bestFit="1" customWidth="1"/>
    <col min="2818" max="2818" width="10.6640625" bestFit="1" customWidth="1"/>
    <col min="3073" max="3073" width="27.33203125" bestFit="1" customWidth="1"/>
    <col min="3074" max="3074" width="10.6640625" bestFit="1" customWidth="1"/>
    <col min="3329" max="3329" width="27.33203125" bestFit="1" customWidth="1"/>
    <col min="3330" max="3330" width="10.6640625" bestFit="1" customWidth="1"/>
    <col min="3585" max="3585" width="27.33203125" bestFit="1" customWidth="1"/>
    <col min="3586" max="3586" width="10.6640625" bestFit="1" customWidth="1"/>
    <col min="3841" max="3841" width="27.33203125" bestFit="1" customWidth="1"/>
    <col min="3842" max="3842" width="10.6640625" bestFit="1" customWidth="1"/>
    <col min="4097" max="4097" width="27.33203125" bestFit="1" customWidth="1"/>
    <col min="4098" max="4098" width="10.6640625" bestFit="1" customWidth="1"/>
    <col min="4353" max="4353" width="27.33203125" bestFit="1" customWidth="1"/>
    <col min="4354" max="4354" width="10.6640625" bestFit="1" customWidth="1"/>
    <col min="4609" max="4609" width="27.33203125" bestFit="1" customWidth="1"/>
    <col min="4610" max="4610" width="10.6640625" bestFit="1" customWidth="1"/>
    <col min="4865" max="4865" width="27.33203125" bestFit="1" customWidth="1"/>
    <col min="4866" max="4866" width="10.6640625" bestFit="1" customWidth="1"/>
    <col min="5121" max="5121" width="27.33203125" bestFit="1" customWidth="1"/>
    <col min="5122" max="5122" width="10.6640625" bestFit="1" customWidth="1"/>
    <col min="5377" max="5377" width="27.33203125" bestFit="1" customWidth="1"/>
    <col min="5378" max="5378" width="10.6640625" bestFit="1" customWidth="1"/>
    <col min="5633" max="5633" width="27.33203125" bestFit="1" customWidth="1"/>
    <col min="5634" max="5634" width="10.6640625" bestFit="1" customWidth="1"/>
    <col min="5889" max="5889" width="27.33203125" bestFit="1" customWidth="1"/>
    <col min="5890" max="5890" width="10.6640625" bestFit="1" customWidth="1"/>
    <col min="6145" max="6145" width="27.33203125" bestFit="1" customWidth="1"/>
    <col min="6146" max="6146" width="10.6640625" bestFit="1" customWidth="1"/>
    <col min="6401" max="6401" width="27.33203125" bestFit="1" customWidth="1"/>
    <col min="6402" max="6402" width="10.6640625" bestFit="1" customWidth="1"/>
    <col min="6657" max="6657" width="27.33203125" bestFit="1" customWidth="1"/>
    <col min="6658" max="6658" width="10.6640625" bestFit="1" customWidth="1"/>
    <col min="6913" max="6913" width="27.33203125" bestFit="1" customWidth="1"/>
    <col min="6914" max="6914" width="10.6640625" bestFit="1" customWidth="1"/>
    <col min="7169" max="7169" width="27.33203125" bestFit="1" customWidth="1"/>
    <col min="7170" max="7170" width="10.6640625" bestFit="1" customWidth="1"/>
    <col min="7425" max="7425" width="27.33203125" bestFit="1" customWidth="1"/>
    <col min="7426" max="7426" width="10.6640625" bestFit="1" customWidth="1"/>
    <col min="7681" max="7681" width="27.33203125" bestFit="1" customWidth="1"/>
    <col min="7682" max="7682" width="10.6640625" bestFit="1" customWidth="1"/>
    <col min="7937" max="7937" width="27.33203125" bestFit="1" customWidth="1"/>
    <col min="7938" max="7938" width="10.6640625" bestFit="1" customWidth="1"/>
    <col min="8193" max="8193" width="27.33203125" bestFit="1" customWidth="1"/>
    <col min="8194" max="8194" width="10.6640625" bestFit="1" customWidth="1"/>
    <col min="8449" max="8449" width="27.33203125" bestFit="1" customWidth="1"/>
    <col min="8450" max="8450" width="10.6640625" bestFit="1" customWidth="1"/>
    <col min="8705" max="8705" width="27.33203125" bestFit="1" customWidth="1"/>
    <col min="8706" max="8706" width="10.6640625" bestFit="1" customWidth="1"/>
    <col min="8961" max="8961" width="27.33203125" bestFit="1" customWidth="1"/>
    <col min="8962" max="8962" width="10.6640625" bestFit="1" customWidth="1"/>
    <col min="9217" max="9217" width="27.33203125" bestFit="1" customWidth="1"/>
    <col min="9218" max="9218" width="10.6640625" bestFit="1" customWidth="1"/>
    <col min="9473" max="9473" width="27.33203125" bestFit="1" customWidth="1"/>
    <col min="9474" max="9474" width="10.6640625" bestFit="1" customWidth="1"/>
    <col min="9729" max="9729" width="27.33203125" bestFit="1" customWidth="1"/>
    <col min="9730" max="9730" width="10.6640625" bestFit="1" customWidth="1"/>
    <col min="9985" max="9985" width="27.33203125" bestFit="1" customWidth="1"/>
    <col min="9986" max="9986" width="10.6640625" bestFit="1" customWidth="1"/>
    <col min="10241" max="10241" width="27.33203125" bestFit="1" customWidth="1"/>
    <col min="10242" max="10242" width="10.6640625" bestFit="1" customWidth="1"/>
    <col min="10497" max="10497" width="27.33203125" bestFit="1" customWidth="1"/>
    <col min="10498" max="10498" width="10.6640625" bestFit="1" customWidth="1"/>
    <col min="10753" max="10753" width="27.33203125" bestFit="1" customWidth="1"/>
    <col min="10754" max="10754" width="10.6640625" bestFit="1" customWidth="1"/>
    <col min="11009" max="11009" width="27.33203125" bestFit="1" customWidth="1"/>
    <col min="11010" max="11010" width="10.6640625" bestFit="1" customWidth="1"/>
    <col min="11265" max="11265" width="27.33203125" bestFit="1" customWidth="1"/>
    <col min="11266" max="11266" width="10.6640625" bestFit="1" customWidth="1"/>
    <col min="11521" max="11521" width="27.33203125" bestFit="1" customWidth="1"/>
    <col min="11522" max="11522" width="10.6640625" bestFit="1" customWidth="1"/>
    <col min="11777" max="11777" width="27.33203125" bestFit="1" customWidth="1"/>
    <col min="11778" max="11778" width="10.6640625" bestFit="1" customWidth="1"/>
    <col min="12033" max="12033" width="27.33203125" bestFit="1" customWidth="1"/>
    <col min="12034" max="12034" width="10.6640625" bestFit="1" customWidth="1"/>
    <col min="12289" max="12289" width="27.33203125" bestFit="1" customWidth="1"/>
    <col min="12290" max="12290" width="10.6640625" bestFit="1" customWidth="1"/>
    <col min="12545" max="12545" width="27.33203125" bestFit="1" customWidth="1"/>
    <col min="12546" max="12546" width="10.6640625" bestFit="1" customWidth="1"/>
    <col min="12801" max="12801" width="27.33203125" bestFit="1" customWidth="1"/>
    <col min="12802" max="12802" width="10.6640625" bestFit="1" customWidth="1"/>
    <col min="13057" max="13057" width="27.33203125" bestFit="1" customWidth="1"/>
    <col min="13058" max="13058" width="10.6640625" bestFit="1" customWidth="1"/>
    <col min="13313" max="13313" width="27.33203125" bestFit="1" customWidth="1"/>
    <col min="13314" max="13314" width="10.6640625" bestFit="1" customWidth="1"/>
    <col min="13569" max="13569" width="27.33203125" bestFit="1" customWidth="1"/>
    <col min="13570" max="13570" width="10.6640625" bestFit="1" customWidth="1"/>
    <col min="13825" max="13825" width="27.33203125" bestFit="1" customWidth="1"/>
    <col min="13826" max="13826" width="10.6640625" bestFit="1" customWidth="1"/>
    <col min="14081" max="14081" width="27.33203125" bestFit="1" customWidth="1"/>
    <col min="14082" max="14082" width="10.6640625" bestFit="1" customWidth="1"/>
    <col min="14337" max="14337" width="27.33203125" bestFit="1" customWidth="1"/>
    <col min="14338" max="14338" width="10.6640625" bestFit="1" customWidth="1"/>
    <col min="14593" max="14593" width="27.33203125" bestFit="1" customWidth="1"/>
    <col min="14594" max="14594" width="10.6640625" bestFit="1" customWidth="1"/>
    <col min="14849" max="14849" width="27.33203125" bestFit="1" customWidth="1"/>
    <col min="14850" max="14850" width="10.6640625" bestFit="1" customWidth="1"/>
    <col min="15105" max="15105" width="27.33203125" bestFit="1" customWidth="1"/>
    <col min="15106" max="15106" width="10.6640625" bestFit="1" customWidth="1"/>
    <col min="15361" max="15361" width="27.33203125" bestFit="1" customWidth="1"/>
    <col min="15362" max="15362" width="10.6640625" bestFit="1" customWidth="1"/>
    <col min="15617" max="15617" width="27.33203125" bestFit="1" customWidth="1"/>
    <col min="15618" max="15618" width="10.6640625" bestFit="1" customWidth="1"/>
    <col min="15873" max="15873" width="27.33203125" bestFit="1" customWidth="1"/>
    <col min="15874" max="15874" width="10.6640625" bestFit="1" customWidth="1"/>
    <col min="16129" max="16129" width="27.33203125" bestFit="1" customWidth="1"/>
    <col min="16130" max="16130" width="10.6640625" bestFit="1" customWidth="1"/>
  </cols>
  <sheetData>
    <row r="1" spans="1:7" x14ac:dyDescent="0.3">
      <c r="A1" s="34" t="s">
        <v>261</v>
      </c>
      <c r="B1" s="34"/>
      <c r="C1" s="34"/>
      <c r="D1" s="34"/>
      <c r="E1" s="34"/>
      <c r="F1" s="34"/>
      <c r="G1" s="34"/>
    </row>
    <row r="2" spans="1:7" ht="28.8" x14ac:dyDescent="0.3">
      <c r="A2" s="34" t="str">
        <f>"Allow you to write a check that has a date "&amp;B4&amp;" days in the future for "&amp;DOLLAR(B5,0)&amp;" and will give you "&amp;DOLLAR(B6,0)&amp;" today (they cash check in "&amp;B4&amp;" days)."</f>
        <v>Allow you to write a check that has a date 15 days in the future for $225 and will give you $200 today (they cash check in 15 days).</v>
      </c>
      <c r="B2" s="34"/>
      <c r="C2" s="34"/>
      <c r="D2" s="34"/>
      <c r="E2" s="34"/>
      <c r="F2" s="34"/>
      <c r="G2" s="34"/>
    </row>
    <row r="3" spans="1:7" x14ac:dyDescent="0.3">
      <c r="A3" s="140" t="s">
        <v>65</v>
      </c>
      <c r="B3" s="140"/>
      <c r="C3" s="34"/>
      <c r="D3" s="34"/>
      <c r="E3" s="34"/>
      <c r="F3" s="34"/>
      <c r="G3" s="34"/>
    </row>
    <row r="4" spans="1:7" x14ac:dyDescent="0.3">
      <c r="A4" s="1" t="s">
        <v>66</v>
      </c>
      <c r="B4" s="1">
        <v>15</v>
      </c>
    </row>
    <row r="5" spans="1:7" x14ac:dyDescent="0.3">
      <c r="A5" s="1" t="s">
        <v>67</v>
      </c>
      <c r="B5" s="1">
        <v>225</v>
      </c>
      <c r="D5" t="s">
        <v>1</v>
      </c>
    </row>
    <row r="6" spans="1:7" x14ac:dyDescent="0.3">
      <c r="A6" s="1" t="s">
        <v>68</v>
      </c>
      <c r="B6" s="1">
        <v>200</v>
      </c>
      <c r="D6" t="s">
        <v>0</v>
      </c>
    </row>
    <row r="7" spans="1:7" x14ac:dyDescent="0.3">
      <c r="A7" s="1" t="str">
        <f>B4&amp;" day rate is ="</f>
        <v>15 day rate is =</v>
      </c>
      <c r="B7" s="42"/>
    </row>
    <row r="8" spans="1:7" x14ac:dyDescent="0.3">
      <c r="A8" s="1" t="s">
        <v>69</v>
      </c>
      <c r="B8" s="1">
        <v>365</v>
      </c>
    </row>
    <row r="9" spans="1:7" x14ac:dyDescent="0.3">
      <c r="A9" s="1" t="str">
        <f>"# of "&amp;B4&amp;" day periods in 1 year ="</f>
        <v># of 15 day periods in 1 year =</v>
      </c>
      <c r="B9" s="50"/>
    </row>
    <row r="10" spans="1:7" x14ac:dyDescent="0.3">
      <c r="A10" s="1" t="s">
        <v>70</v>
      </c>
      <c r="B10" s="51"/>
    </row>
    <row r="11" spans="1:7" x14ac:dyDescent="0.3">
      <c r="A11" s="1" t="s">
        <v>71</v>
      </c>
      <c r="B11" s="51"/>
      <c r="C11" t="s">
        <v>72</v>
      </c>
    </row>
    <row r="12" spans="1:7" x14ac:dyDescent="0.3">
      <c r="B12" s="52"/>
    </row>
    <row r="13" spans="1:7" x14ac:dyDescent="0.3">
      <c r="A13" s="1" t="s">
        <v>71</v>
      </c>
      <c r="B13" s="51"/>
      <c r="C13" t="s">
        <v>73</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zoomScaleNormal="100" workbookViewId="0">
      <selection activeCell="B7" sqref="B7"/>
    </sheetView>
  </sheetViews>
  <sheetFormatPr defaultRowHeight="14.4" x14ac:dyDescent="0.3"/>
  <cols>
    <col min="1" max="1" width="27.33203125" bestFit="1" customWidth="1"/>
    <col min="2" max="2" width="38.5546875" bestFit="1" customWidth="1"/>
    <col min="257" max="257" width="27.33203125" bestFit="1" customWidth="1"/>
    <col min="258" max="258" width="38.5546875" bestFit="1" customWidth="1"/>
    <col min="513" max="513" width="27.33203125" bestFit="1" customWidth="1"/>
    <col min="514" max="514" width="38.5546875" bestFit="1" customWidth="1"/>
    <col min="769" max="769" width="27.33203125" bestFit="1" customWidth="1"/>
    <col min="770" max="770" width="38.5546875" bestFit="1" customWidth="1"/>
    <col min="1025" max="1025" width="27.33203125" bestFit="1" customWidth="1"/>
    <col min="1026" max="1026" width="38.5546875" bestFit="1" customWidth="1"/>
    <col min="1281" max="1281" width="27.33203125" bestFit="1" customWidth="1"/>
    <col min="1282" max="1282" width="38.5546875" bestFit="1" customWidth="1"/>
    <col min="1537" max="1537" width="27.33203125" bestFit="1" customWidth="1"/>
    <col min="1538" max="1538" width="38.5546875" bestFit="1" customWidth="1"/>
    <col min="1793" max="1793" width="27.33203125" bestFit="1" customWidth="1"/>
    <col min="1794" max="1794" width="38.5546875" bestFit="1" customWidth="1"/>
    <col min="2049" max="2049" width="27.33203125" bestFit="1" customWidth="1"/>
    <col min="2050" max="2050" width="38.5546875" bestFit="1" customWidth="1"/>
    <col min="2305" max="2305" width="27.33203125" bestFit="1" customWidth="1"/>
    <col min="2306" max="2306" width="38.5546875" bestFit="1" customWidth="1"/>
    <col min="2561" max="2561" width="27.33203125" bestFit="1" customWidth="1"/>
    <col min="2562" max="2562" width="38.5546875" bestFit="1" customWidth="1"/>
    <col min="2817" max="2817" width="27.33203125" bestFit="1" customWidth="1"/>
    <col min="2818" max="2818" width="38.5546875" bestFit="1" customWidth="1"/>
    <col min="3073" max="3073" width="27.33203125" bestFit="1" customWidth="1"/>
    <col min="3074" max="3074" width="38.5546875" bestFit="1" customWidth="1"/>
    <col min="3329" max="3329" width="27.33203125" bestFit="1" customWidth="1"/>
    <col min="3330" max="3330" width="38.5546875" bestFit="1" customWidth="1"/>
    <col min="3585" max="3585" width="27.33203125" bestFit="1" customWidth="1"/>
    <col min="3586" max="3586" width="38.5546875" bestFit="1" customWidth="1"/>
    <col min="3841" max="3841" width="27.33203125" bestFit="1" customWidth="1"/>
    <col min="3842" max="3842" width="38.5546875" bestFit="1" customWidth="1"/>
    <col min="4097" max="4097" width="27.33203125" bestFit="1" customWidth="1"/>
    <col min="4098" max="4098" width="38.5546875" bestFit="1" customWidth="1"/>
    <col min="4353" max="4353" width="27.33203125" bestFit="1" customWidth="1"/>
    <col min="4354" max="4354" width="38.5546875" bestFit="1" customWidth="1"/>
    <col min="4609" max="4609" width="27.33203125" bestFit="1" customWidth="1"/>
    <col min="4610" max="4610" width="38.5546875" bestFit="1" customWidth="1"/>
    <col min="4865" max="4865" width="27.33203125" bestFit="1" customWidth="1"/>
    <col min="4866" max="4866" width="38.5546875" bestFit="1" customWidth="1"/>
    <col min="5121" max="5121" width="27.33203125" bestFit="1" customWidth="1"/>
    <col min="5122" max="5122" width="38.5546875" bestFit="1" customWidth="1"/>
    <col min="5377" max="5377" width="27.33203125" bestFit="1" customWidth="1"/>
    <col min="5378" max="5378" width="38.5546875" bestFit="1" customWidth="1"/>
    <col min="5633" max="5633" width="27.33203125" bestFit="1" customWidth="1"/>
    <col min="5634" max="5634" width="38.5546875" bestFit="1" customWidth="1"/>
    <col min="5889" max="5889" width="27.33203125" bestFit="1" customWidth="1"/>
    <col min="5890" max="5890" width="38.5546875" bestFit="1" customWidth="1"/>
    <col min="6145" max="6145" width="27.33203125" bestFit="1" customWidth="1"/>
    <col min="6146" max="6146" width="38.5546875" bestFit="1" customWidth="1"/>
    <col min="6401" max="6401" width="27.33203125" bestFit="1" customWidth="1"/>
    <col min="6402" max="6402" width="38.5546875" bestFit="1" customWidth="1"/>
    <col min="6657" max="6657" width="27.33203125" bestFit="1" customWidth="1"/>
    <col min="6658" max="6658" width="38.5546875" bestFit="1" customWidth="1"/>
    <col min="6913" max="6913" width="27.33203125" bestFit="1" customWidth="1"/>
    <col min="6914" max="6914" width="38.5546875" bestFit="1" customWidth="1"/>
    <col min="7169" max="7169" width="27.33203125" bestFit="1" customWidth="1"/>
    <col min="7170" max="7170" width="38.5546875" bestFit="1" customWidth="1"/>
    <col min="7425" max="7425" width="27.33203125" bestFit="1" customWidth="1"/>
    <col min="7426" max="7426" width="38.5546875" bestFit="1" customWidth="1"/>
    <col min="7681" max="7681" width="27.33203125" bestFit="1" customWidth="1"/>
    <col min="7682" max="7682" width="38.5546875" bestFit="1" customWidth="1"/>
    <col min="7937" max="7937" width="27.33203125" bestFit="1" customWidth="1"/>
    <col min="7938" max="7938" width="38.5546875" bestFit="1" customWidth="1"/>
    <col min="8193" max="8193" width="27.33203125" bestFit="1" customWidth="1"/>
    <col min="8194" max="8194" width="38.5546875" bestFit="1" customWidth="1"/>
    <col min="8449" max="8449" width="27.33203125" bestFit="1" customWidth="1"/>
    <col min="8450" max="8450" width="38.5546875" bestFit="1" customWidth="1"/>
    <col min="8705" max="8705" width="27.33203125" bestFit="1" customWidth="1"/>
    <col min="8706" max="8706" width="38.5546875" bestFit="1" customWidth="1"/>
    <col min="8961" max="8961" width="27.33203125" bestFit="1" customWidth="1"/>
    <col min="8962" max="8962" width="38.5546875" bestFit="1" customWidth="1"/>
    <col min="9217" max="9217" width="27.33203125" bestFit="1" customWidth="1"/>
    <col min="9218" max="9218" width="38.5546875" bestFit="1" customWidth="1"/>
    <col min="9473" max="9473" width="27.33203125" bestFit="1" customWidth="1"/>
    <col min="9474" max="9474" width="38.5546875" bestFit="1" customWidth="1"/>
    <col min="9729" max="9729" width="27.33203125" bestFit="1" customWidth="1"/>
    <col min="9730" max="9730" width="38.5546875" bestFit="1" customWidth="1"/>
    <col min="9985" max="9985" width="27.33203125" bestFit="1" customWidth="1"/>
    <col min="9986" max="9986" width="38.5546875" bestFit="1" customWidth="1"/>
    <col min="10241" max="10241" width="27.33203125" bestFit="1" customWidth="1"/>
    <col min="10242" max="10242" width="38.5546875" bestFit="1" customWidth="1"/>
    <col min="10497" max="10497" width="27.33203125" bestFit="1" customWidth="1"/>
    <col min="10498" max="10498" width="38.5546875" bestFit="1" customWidth="1"/>
    <col min="10753" max="10753" width="27.33203125" bestFit="1" customWidth="1"/>
    <col min="10754" max="10754" width="38.5546875" bestFit="1" customWidth="1"/>
    <col min="11009" max="11009" width="27.33203125" bestFit="1" customWidth="1"/>
    <col min="11010" max="11010" width="38.5546875" bestFit="1" customWidth="1"/>
    <col min="11265" max="11265" width="27.33203125" bestFit="1" customWidth="1"/>
    <col min="11266" max="11266" width="38.5546875" bestFit="1" customWidth="1"/>
    <col min="11521" max="11521" width="27.33203125" bestFit="1" customWidth="1"/>
    <col min="11522" max="11522" width="38.5546875" bestFit="1" customWidth="1"/>
    <col min="11777" max="11777" width="27.33203125" bestFit="1" customWidth="1"/>
    <col min="11778" max="11778" width="38.5546875" bestFit="1" customWidth="1"/>
    <col min="12033" max="12033" width="27.33203125" bestFit="1" customWidth="1"/>
    <col min="12034" max="12034" width="38.5546875" bestFit="1" customWidth="1"/>
    <col min="12289" max="12289" width="27.33203125" bestFit="1" customWidth="1"/>
    <col min="12290" max="12290" width="38.5546875" bestFit="1" customWidth="1"/>
    <col min="12545" max="12545" width="27.33203125" bestFit="1" customWidth="1"/>
    <col min="12546" max="12546" width="38.5546875" bestFit="1" customWidth="1"/>
    <col min="12801" max="12801" width="27.33203125" bestFit="1" customWidth="1"/>
    <col min="12802" max="12802" width="38.5546875" bestFit="1" customWidth="1"/>
    <col min="13057" max="13057" width="27.33203125" bestFit="1" customWidth="1"/>
    <col min="13058" max="13058" width="38.5546875" bestFit="1" customWidth="1"/>
    <col min="13313" max="13313" width="27.33203125" bestFit="1" customWidth="1"/>
    <col min="13314" max="13314" width="38.5546875" bestFit="1" customWidth="1"/>
    <col min="13569" max="13569" width="27.33203125" bestFit="1" customWidth="1"/>
    <col min="13570" max="13570" width="38.5546875" bestFit="1" customWidth="1"/>
    <col min="13825" max="13825" width="27.33203125" bestFit="1" customWidth="1"/>
    <col min="13826" max="13826" width="38.5546875" bestFit="1" customWidth="1"/>
    <col min="14081" max="14081" width="27.33203125" bestFit="1" customWidth="1"/>
    <col min="14082" max="14082" width="38.5546875" bestFit="1" customWidth="1"/>
    <col min="14337" max="14337" width="27.33203125" bestFit="1" customWidth="1"/>
    <col min="14338" max="14338" width="38.5546875" bestFit="1" customWidth="1"/>
    <col min="14593" max="14593" width="27.33203125" bestFit="1" customWidth="1"/>
    <col min="14594" max="14594" width="38.5546875" bestFit="1" customWidth="1"/>
    <col min="14849" max="14849" width="27.33203125" bestFit="1" customWidth="1"/>
    <col min="14850" max="14850" width="38.5546875" bestFit="1" customWidth="1"/>
    <col min="15105" max="15105" width="27.33203125" bestFit="1" customWidth="1"/>
    <col min="15106" max="15106" width="38.5546875" bestFit="1" customWidth="1"/>
    <col min="15361" max="15361" width="27.33203125" bestFit="1" customWidth="1"/>
    <col min="15362" max="15362" width="38.5546875" bestFit="1" customWidth="1"/>
    <col min="15617" max="15617" width="27.33203125" bestFit="1" customWidth="1"/>
    <col min="15618" max="15618" width="38.5546875" bestFit="1" customWidth="1"/>
    <col min="15873" max="15873" width="27.33203125" bestFit="1" customWidth="1"/>
    <col min="15874" max="15874" width="38.5546875" bestFit="1" customWidth="1"/>
    <col min="16129" max="16129" width="27.33203125" bestFit="1" customWidth="1"/>
    <col min="16130" max="16130" width="38.5546875" bestFit="1" customWidth="1"/>
  </cols>
  <sheetData>
    <row r="1" spans="1:7" x14ac:dyDescent="0.3">
      <c r="A1" s="34" t="s">
        <v>261</v>
      </c>
      <c r="B1" s="34"/>
      <c r="C1" s="34"/>
      <c r="D1" s="34"/>
      <c r="E1" s="34"/>
      <c r="F1" s="34"/>
      <c r="G1" s="34"/>
    </row>
    <row r="2" spans="1:7" x14ac:dyDescent="0.3">
      <c r="A2" s="34" t="str">
        <f>"Allow you to write a check that has a date "&amp;B4&amp;" days in the future for "&amp;DOLLAR(B5,0)&amp;" and will give you "&amp;DOLLAR(B6,0)&amp;" today (they cash check in "&amp;B4&amp;" days)."</f>
        <v>Allow you to write a check that has a date 15 days in the future for $225 and will give you $200 today (they cash check in 15 days).</v>
      </c>
      <c r="B2" s="34"/>
      <c r="C2" s="34"/>
      <c r="D2" s="34"/>
      <c r="E2" s="34"/>
      <c r="F2" s="34"/>
      <c r="G2" s="34"/>
    </row>
    <row r="3" spans="1:7" x14ac:dyDescent="0.3">
      <c r="A3" s="140" t="s">
        <v>65</v>
      </c>
      <c r="B3" s="140"/>
      <c r="C3" s="34"/>
      <c r="D3" s="34"/>
      <c r="E3" s="34"/>
      <c r="F3" s="34"/>
      <c r="G3" s="34"/>
    </row>
    <row r="4" spans="1:7" x14ac:dyDescent="0.3">
      <c r="A4" s="1" t="s">
        <v>66</v>
      </c>
      <c r="B4" s="1">
        <v>15</v>
      </c>
    </row>
    <row r="5" spans="1:7" x14ac:dyDescent="0.3">
      <c r="A5" s="1" t="s">
        <v>67</v>
      </c>
      <c r="B5" s="1">
        <v>225</v>
      </c>
      <c r="D5" t="s">
        <v>1</v>
      </c>
    </row>
    <row r="6" spans="1:7" x14ac:dyDescent="0.3">
      <c r="A6" s="1" t="s">
        <v>68</v>
      </c>
      <c r="B6" s="1">
        <v>200</v>
      </c>
      <c r="D6" t="s">
        <v>0</v>
      </c>
    </row>
    <row r="7" spans="1:7" x14ac:dyDescent="0.3">
      <c r="A7" s="1" t="str">
        <f>B4&amp;" day rate is ="</f>
        <v>15 day rate is =</v>
      </c>
      <c r="B7" s="42">
        <f>B5/B6-1</f>
        <v>0.125</v>
      </c>
    </row>
    <row r="8" spans="1:7" x14ac:dyDescent="0.3">
      <c r="A8" s="1" t="s">
        <v>69</v>
      </c>
      <c r="B8" s="1">
        <v>365</v>
      </c>
    </row>
    <row r="9" spans="1:7" x14ac:dyDescent="0.3">
      <c r="A9" s="1" t="str">
        <f>"# of "&amp;B4&amp;" day periods in 1 year ="</f>
        <v># of 15 day periods in 1 year =</v>
      </c>
      <c r="B9" s="50">
        <f>B8/B4</f>
        <v>24.333333333333332</v>
      </c>
    </row>
    <row r="10" spans="1:7" x14ac:dyDescent="0.3">
      <c r="A10" s="1" t="s">
        <v>70</v>
      </c>
      <c r="B10" s="51">
        <f>B7*B9</f>
        <v>3.0416666666666665</v>
      </c>
    </row>
    <row r="11" spans="1:7" x14ac:dyDescent="0.3">
      <c r="A11" s="1" t="s">
        <v>71</v>
      </c>
      <c r="B11" s="51">
        <f>(1+B7)^B9-1</f>
        <v>16.567557332586325</v>
      </c>
      <c r="C11" t="s">
        <v>72</v>
      </c>
    </row>
    <row r="12" spans="1:7" x14ac:dyDescent="0.3">
      <c r="B12" s="52"/>
    </row>
    <row r="13" spans="1:7" x14ac:dyDescent="0.3">
      <c r="A13" s="1" t="s">
        <v>71</v>
      </c>
      <c r="B13" s="51">
        <f>EFFECT(B10,B9)</f>
        <v>16.528030532112975</v>
      </c>
      <c r="C13" t="s">
        <v>73</v>
      </c>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5"/>
  <sheetViews>
    <sheetView zoomScaleNormal="100" workbookViewId="0">
      <selection activeCell="B4" sqref="B4"/>
    </sheetView>
  </sheetViews>
  <sheetFormatPr defaultRowHeight="14.4" x14ac:dyDescent="0.3"/>
  <cols>
    <col min="1" max="2" width="18.5546875" customWidth="1"/>
    <col min="257" max="258" width="18.5546875" customWidth="1"/>
    <col min="513" max="514" width="18.5546875" customWidth="1"/>
    <col min="769" max="770" width="18.5546875" customWidth="1"/>
    <col min="1025" max="1026" width="18.5546875" customWidth="1"/>
    <col min="1281" max="1282" width="18.5546875" customWidth="1"/>
    <col min="1537" max="1538" width="18.5546875" customWidth="1"/>
    <col min="1793" max="1794" width="18.5546875" customWidth="1"/>
    <col min="2049" max="2050" width="18.5546875" customWidth="1"/>
    <col min="2305" max="2306" width="18.5546875" customWidth="1"/>
    <col min="2561" max="2562" width="18.5546875" customWidth="1"/>
    <col min="2817" max="2818" width="18.5546875" customWidth="1"/>
    <col min="3073" max="3074" width="18.5546875" customWidth="1"/>
    <col min="3329" max="3330" width="18.5546875" customWidth="1"/>
    <col min="3585" max="3586" width="18.5546875" customWidth="1"/>
    <col min="3841" max="3842" width="18.5546875" customWidth="1"/>
    <col min="4097" max="4098" width="18.5546875" customWidth="1"/>
    <col min="4353" max="4354" width="18.5546875" customWidth="1"/>
    <col min="4609" max="4610" width="18.5546875" customWidth="1"/>
    <col min="4865" max="4866" width="18.5546875" customWidth="1"/>
    <col min="5121" max="5122" width="18.5546875" customWidth="1"/>
    <col min="5377" max="5378" width="18.5546875" customWidth="1"/>
    <col min="5633" max="5634" width="18.5546875" customWidth="1"/>
    <col min="5889" max="5890" width="18.5546875" customWidth="1"/>
    <col min="6145" max="6146" width="18.5546875" customWidth="1"/>
    <col min="6401" max="6402" width="18.5546875" customWidth="1"/>
    <col min="6657" max="6658" width="18.5546875" customWidth="1"/>
    <col min="6913" max="6914" width="18.5546875" customWidth="1"/>
    <col min="7169" max="7170" width="18.5546875" customWidth="1"/>
    <col min="7425" max="7426" width="18.5546875" customWidth="1"/>
    <col min="7681" max="7682" width="18.5546875" customWidth="1"/>
    <col min="7937" max="7938" width="18.5546875" customWidth="1"/>
    <col min="8193" max="8194" width="18.5546875" customWidth="1"/>
    <col min="8449" max="8450" width="18.5546875" customWidth="1"/>
    <col min="8705" max="8706" width="18.5546875" customWidth="1"/>
    <col min="8961" max="8962" width="18.5546875" customWidth="1"/>
    <col min="9217" max="9218" width="18.5546875" customWidth="1"/>
    <col min="9473" max="9474" width="18.5546875" customWidth="1"/>
    <col min="9729" max="9730" width="18.5546875" customWidth="1"/>
    <col min="9985" max="9986" width="18.5546875" customWidth="1"/>
    <col min="10241" max="10242" width="18.5546875" customWidth="1"/>
    <col min="10497" max="10498" width="18.5546875" customWidth="1"/>
    <col min="10753" max="10754" width="18.5546875" customWidth="1"/>
    <col min="11009" max="11010" width="18.5546875" customWidth="1"/>
    <col min="11265" max="11266" width="18.5546875" customWidth="1"/>
    <col min="11521" max="11522" width="18.5546875" customWidth="1"/>
    <col min="11777" max="11778" width="18.5546875" customWidth="1"/>
    <col min="12033" max="12034" width="18.5546875" customWidth="1"/>
    <col min="12289" max="12290" width="18.5546875" customWidth="1"/>
    <col min="12545" max="12546" width="18.5546875" customWidth="1"/>
    <col min="12801" max="12802" width="18.5546875" customWidth="1"/>
    <col min="13057" max="13058" width="18.5546875" customWidth="1"/>
    <col min="13313" max="13314" width="18.5546875" customWidth="1"/>
    <col min="13569" max="13570" width="18.5546875" customWidth="1"/>
    <col min="13825" max="13826" width="18.5546875" customWidth="1"/>
    <col min="14081" max="14082" width="18.5546875" customWidth="1"/>
    <col min="14337" max="14338" width="18.5546875" customWidth="1"/>
    <col min="14593" max="14594" width="18.5546875" customWidth="1"/>
    <col min="14849" max="14850" width="18.5546875" customWidth="1"/>
    <col min="15105" max="15106" width="18.5546875" customWidth="1"/>
    <col min="15361" max="15362" width="18.5546875" customWidth="1"/>
    <col min="15617" max="15618" width="18.5546875" customWidth="1"/>
    <col min="15873" max="15874" width="18.5546875" customWidth="1"/>
    <col min="16129" max="16130" width="18.5546875" customWidth="1"/>
  </cols>
  <sheetData>
    <row r="1" spans="1:8" ht="43.2" x14ac:dyDescent="0.3">
      <c r="A1" s="34" t="s">
        <v>74</v>
      </c>
      <c r="B1" s="34"/>
    </row>
    <row r="2" spans="1:8" x14ac:dyDescent="0.3">
      <c r="A2" s="1" t="s">
        <v>71</v>
      </c>
      <c r="B2" s="45">
        <v>0.14499999999999999</v>
      </c>
    </row>
    <row r="3" spans="1:8" ht="28.8" x14ac:dyDescent="0.3">
      <c r="A3" s="1" t="s">
        <v>39</v>
      </c>
      <c r="B3" s="1">
        <v>2</v>
      </c>
      <c r="C3" s="136" t="s">
        <v>260</v>
      </c>
      <c r="D3" s="136"/>
      <c r="E3" s="136"/>
      <c r="F3" s="136"/>
      <c r="G3" s="136"/>
      <c r="H3" s="136"/>
    </row>
    <row r="4" spans="1:8" x14ac:dyDescent="0.3">
      <c r="A4" s="1" t="s">
        <v>70</v>
      </c>
      <c r="B4" s="53"/>
    </row>
    <row r="5" spans="1:8" x14ac:dyDescent="0.3">
      <c r="A5" s="1" t="s">
        <v>70</v>
      </c>
      <c r="B5" s="42"/>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
  <sheetViews>
    <sheetView zoomScale="115" zoomScaleNormal="115" workbookViewId="0">
      <selection activeCell="B4" sqref="B4"/>
    </sheetView>
  </sheetViews>
  <sheetFormatPr defaultRowHeight="14.4" x14ac:dyDescent="0.3"/>
  <cols>
    <col min="1" max="2" width="18.5546875" customWidth="1"/>
    <col min="257" max="258" width="18.5546875" customWidth="1"/>
    <col min="513" max="514" width="18.5546875" customWidth="1"/>
    <col min="769" max="770" width="18.5546875" customWidth="1"/>
    <col min="1025" max="1026" width="18.5546875" customWidth="1"/>
    <col min="1281" max="1282" width="18.5546875" customWidth="1"/>
    <col min="1537" max="1538" width="18.5546875" customWidth="1"/>
    <col min="1793" max="1794" width="18.5546875" customWidth="1"/>
    <col min="2049" max="2050" width="18.5546875" customWidth="1"/>
    <col min="2305" max="2306" width="18.5546875" customWidth="1"/>
    <col min="2561" max="2562" width="18.5546875" customWidth="1"/>
    <col min="2817" max="2818" width="18.5546875" customWidth="1"/>
    <col min="3073" max="3074" width="18.5546875" customWidth="1"/>
    <col min="3329" max="3330" width="18.5546875" customWidth="1"/>
    <col min="3585" max="3586" width="18.5546875" customWidth="1"/>
    <col min="3841" max="3842" width="18.5546875" customWidth="1"/>
    <col min="4097" max="4098" width="18.5546875" customWidth="1"/>
    <col min="4353" max="4354" width="18.5546875" customWidth="1"/>
    <col min="4609" max="4610" width="18.5546875" customWidth="1"/>
    <col min="4865" max="4866" width="18.5546875" customWidth="1"/>
    <col min="5121" max="5122" width="18.5546875" customWidth="1"/>
    <col min="5377" max="5378" width="18.5546875" customWidth="1"/>
    <col min="5633" max="5634" width="18.5546875" customWidth="1"/>
    <col min="5889" max="5890" width="18.5546875" customWidth="1"/>
    <col min="6145" max="6146" width="18.5546875" customWidth="1"/>
    <col min="6401" max="6402" width="18.5546875" customWidth="1"/>
    <col min="6657" max="6658" width="18.5546875" customWidth="1"/>
    <col min="6913" max="6914" width="18.5546875" customWidth="1"/>
    <col min="7169" max="7170" width="18.5546875" customWidth="1"/>
    <col min="7425" max="7426" width="18.5546875" customWidth="1"/>
    <col min="7681" max="7682" width="18.5546875" customWidth="1"/>
    <col min="7937" max="7938" width="18.5546875" customWidth="1"/>
    <col min="8193" max="8194" width="18.5546875" customWidth="1"/>
    <col min="8449" max="8450" width="18.5546875" customWidth="1"/>
    <col min="8705" max="8706" width="18.5546875" customWidth="1"/>
    <col min="8961" max="8962" width="18.5546875" customWidth="1"/>
    <col min="9217" max="9218" width="18.5546875" customWidth="1"/>
    <col min="9473" max="9474" width="18.5546875" customWidth="1"/>
    <col min="9729" max="9730" width="18.5546875" customWidth="1"/>
    <col min="9985" max="9986" width="18.5546875" customWidth="1"/>
    <col min="10241" max="10242" width="18.5546875" customWidth="1"/>
    <col min="10497" max="10498" width="18.5546875" customWidth="1"/>
    <col min="10753" max="10754" width="18.5546875" customWidth="1"/>
    <col min="11009" max="11010" width="18.5546875" customWidth="1"/>
    <col min="11265" max="11266" width="18.5546875" customWidth="1"/>
    <col min="11521" max="11522" width="18.5546875" customWidth="1"/>
    <col min="11777" max="11778" width="18.5546875" customWidth="1"/>
    <col min="12033" max="12034" width="18.5546875" customWidth="1"/>
    <col min="12289" max="12290" width="18.5546875" customWidth="1"/>
    <col min="12545" max="12546" width="18.5546875" customWidth="1"/>
    <col min="12801" max="12802" width="18.5546875" customWidth="1"/>
    <col min="13057" max="13058" width="18.5546875" customWidth="1"/>
    <col min="13313" max="13314" width="18.5546875" customWidth="1"/>
    <col min="13569" max="13570" width="18.5546875" customWidth="1"/>
    <col min="13825" max="13826" width="18.5546875" customWidth="1"/>
    <col min="14081" max="14082" width="18.5546875" customWidth="1"/>
    <col min="14337" max="14338" width="18.5546875" customWidth="1"/>
    <col min="14593" max="14594" width="18.5546875" customWidth="1"/>
    <col min="14849" max="14850" width="18.5546875" customWidth="1"/>
    <col min="15105" max="15106" width="18.5546875" customWidth="1"/>
    <col min="15361" max="15362" width="18.5546875" customWidth="1"/>
    <col min="15617" max="15618" width="18.5546875" customWidth="1"/>
    <col min="15873" max="15874" width="18.5546875" customWidth="1"/>
    <col min="16129" max="16130" width="18.5546875" customWidth="1"/>
  </cols>
  <sheetData>
    <row r="1" spans="1:8" ht="43.2" x14ac:dyDescent="0.3">
      <c r="A1" s="34" t="s">
        <v>74</v>
      </c>
      <c r="B1" s="34"/>
    </row>
    <row r="2" spans="1:8" x14ac:dyDescent="0.3">
      <c r="A2" s="1" t="s">
        <v>71</v>
      </c>
      <c r="B2" s="45">
        <v>0.14499999999999999</v>
      </c>
    </row>
    <row r="3" spans="1:8" ht="28.8" x14ac:dyDescent="0.3">
      <c r="A3" s="1" t="s">
        <v>39</v>
      </c>
      <c r="B3" s="1">
        <v>2</v>
      </c>
      <c r="C3" s="136" t="s">
        <v>260</v>
      </c>
      <c r="D3" s="136"/>
      <c r="E3" s="136"/>
      <c r="F3" s="136"/>
      <c r="G3" s="136"/>
      <c r="H3" s="136"/>
    </row>
    <row r="4" spans="1:8" x14ac:dyDescent="0.3">
      <c r="A4" s="1" t="s">
        <v>70</v>
      </c>
      <c r="B4" s="53">
        <f>((B2+1)^(1/B3)-1)*B3</f>
        <v>0.1400934559032696</v>
      </c>
    </row>
    <row r="5" spans="1:8" x14ac:dyDescent="0.3">
      <c r="A5" s="1" t="s">
        <v>70</v>
      </c>
      <c r="B5" s="42">
        <f>NOMINAL(B2,B3)</f>
        <v>0.1400934559032696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
  <sheetViews>
    <sheetView zoomScale="130" zoomScaleNormal="130" workbookViewId="0">
      <selection activeCell="C5" sqref="C5"/>
    </sheetView>
  </sheetViews>
  <sheetFormatPr defaultRowHeight="14.4" x14ac:dyDescent="0.3"/>
  <cols>
    <col min="1" max="1" width="38.109375" bestFit="1" customWidth="1"/>
    <col min="3" max="3" width="10.33203125" bestFit="1" customWidth="1"/>
  </cols>
  <sheetData>
    <row r="1" spans="1:5" x14ac:dyDescent="0.3">
      <c r="A1" s="1" t="s">
        <v>7</v>
      </c>
      <c r="B1" s="1" t="s">
        <v>0</v>
      </c>
      <c r="C1" s="3">
        <v>-1000</v>
      </c>
    </row>
    <row r="2" spans="1:5" x14ac:dyDescent="0.3">
      <c r="A2" s="1" t="s">
        <v>9</v>
      </c>
      <c r="B2" s="1" t="s">
        <v>2</v>
      </c>
      <c r="C2" s="4">
        <v>0.1</v>
      </c>
    </row>
    <row r="3" spans="1:5" x14ac:dyDescent="0.3">
      <c r="A3" s="1" t="s">
        <v>27</v>
      </c>
      <c r="B3" s="1" t="s">
        <v>3</v>
      </c>
      <c r="C3" s="3">
        <v>2</v>
      </c>
    </row>
    <row r="4" spans="1:5" x14ac:dyDescent="0.3">
      <c r="A4" s="1" t="s">
        <v>10</v>
      </c>
      <c r="B4" s="1" t="s">
        <v>4</v>
      </c>
      <c r="C4" s="3">
        <v>4</v>
      </c>
    </row>
    <row r="5" spans="1:5" x14ac:dyDescent="0.3">
      <c r="A5" s="1" t="s">
        <v>11</v>
      </c>
      <c r="B5" s="1" t="s">
        <v>5</v>
      </c>
      <c r="C5" s="2">
        <f>C2/C3</f>
        <v>0.05</v>
      </c>
    </row>
    <row r="6" spans="1:5" x14ac:dyDescent="0.3">
      <c r="A6" s="1" t="s">
        <v>12</v>
      </c>
      <c r="B6" s="1" t="s">
        <v>6</v>
      </c>
      <c r="C6" s="2">
        <f>C3*C4</f>
        <v>8</v>
      </c>
      <c r="E6" s="1" t="s">
        <v>13</v>
      </c>
    </row>
    <row r="7" spans="1:5" x14ac:dyDescent="0.3">
      <c r="A7" s="1" t="s">
        <v>8</v>
      </c>
      <c r="B7" s="1" t="s">
        <v>1</v>
      </c>
      <c r="C7" s="18">
        <f>FV(C5,C6,,C1)</f>
        <v>1477.4554437890627</v>
      </c>
      <c r="E7" s="2">
        <f>C1*(1+C5)^C6</f>
        <v>-1477.4554437890627</v>
      </c>
    </row>
    <row r="9" spans="1:5" x14ac:dyDescent="0.3">
      <c r="A9" s="1" t="s">
        <v>8</v>
      </c>
      <c r="B9" s="1" t="s">
        <v>1</v>
      </c>
      <c r="C9" s="6">
        <v>1477.4554437890627</v>
      </c>
    </row>
    <row r="10" spans="1:5" x14ac:dyDescent="0.3">
      <c r="A10" s="1" t="s">
        <v>9</v>
      </c>
      <c r="B10" s="1" t="s">
        <v>2</v>
      </c>
      <c r="C10" s="4">
        <v>0.1</v>
      </c>
    </row>
    <row r="11" spans="1:5" x14ac:dyDescent="0.3">
      <c r="A11" s="1" t="s">
        <v>27</v>
      </c>
      <c r="B11" s="1" t="s">
        <v>3</v>
      </c>
      <c r="C11" s="3">
        <v>2</v>
      </c>
    </row>
    <row r="12" spans="1:5" x14ac:dyDescent="0.3">
      <c r="A12" s="1" t="s">
        <v>10</v>
      </c>
      <c r="B12" s="1" t="s">
        <v>4</v>
      </c>
      <c r="C12" s="3">
        <v>4</v>
      </c>
    </row>
    <row r="13" spans="1:5" x14ac:dyDescent="0.3">
      <c r="A13" s="1" t="s">
        <v>11</v>
      </c>
      <c r="B13" s="1" t="s">
        <v>5</v>
      </c>
      <c r="C13" s="2">
        <f>C10/C11</f>
        <v>0.05</v>
      </c>
    </row>
    <row r="14" spans="1:5" x14ac:dyDescent="0.3">
      <c r="A14" s="1" t="s">
        <v>12</v>
      </c>
      <c r="B14" s="1" t="s">
        <v>6</v>
      </c>
      <c r="C14" s="2">
        <f>C11*C12</f>
        <v>8</v>
      </c>
      <c r="E14" s="1" t="s">
        <v>13</v>
      </c>
    </row>
    <row r="15" spans="1:5" x14ac:dyDescent="0.3">
      <c r="A15" s="1" t="s">
        <v>7</v>
      </c>
      <c r="B15" s="1" t="s">
        <v>0</v>
      </c>
      <c r="C15" s="18">
        <f>PV(C13,C14,,C9)</f>
        <v>-1000</v>
      </c>
      <c r="E15" s="2">
        <f>C9/(1+C13)^C14</f>
        <v>1000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11"/>
  <sheetViews>
    <sheetView zoomScale="115" zoomScaleNormal="115" workbookViewId="0">
      <selection activeCell="C8" sqref="C8"/>
    </sheetView>
  </sheetViews>
  <sheetFormatPr defaultRowHeight="14.4" x14ac:dyDescent="0.3"/>
  <cols>
    <col min="1" max="1" width="2" bestFit="1" customWidth="1"/>
    <col min="2" max="2" width="27.109375" style="10" customWidth="1"/>
    <col min="3" max="3" width="8.109375" customWidth="1"/>
    <col min="4" max="4" width="3" bestFit="1" customWidth="1"/>
    <col min="5" max="5" width="18.6640625" bestFit="1" customWidth="1"/>
    <col min="6" max="6" width="7" bestFit="1" customWidth="1"/>
    <col min="7" max="7" width="2" bestFit="1" customWidth="1"/>
    <col min="8" max="9" width="7.6640625" customWidth="1"/>
    <col min="10" max="10" width="18.6640625" bestFit="1" customWidth="1"/>
    <col min="11" max="11" width="7.6640625" customWidth="1"/>
    <col min="257" max="257" width="2" bestFit="1" customWidth="1"/>
    <col min="258" max="258" width="27.109375" customWidth="1"/>
    <col min="259" max="259" width="8.109375" customWidth="1"/>
    <col min="260" max="260" width="3" bestFit="1" customWidth="1"/>
    <col min="261" max="261" width="18.6640625" bestFit="1" customWidth="1"/>
    <col min="262" max="262" width="7" bestFit="1" customWidth="1"/>
    <col min="263" max="263" width="2" bestFit="1" customWidth="1"/>
    <col min="264" max="265" width="7.6640625" customWidth="1"/>
    <col min="266" max="266" width="18.6640625" bestFit="1" customWidth="1"/>
    <col min="267" max="267" width="7.6640625" customWidth="1"/>
    <col min="513" max="513" width="2" bestFit="1" customWidth="1"/>
    <col min="514" max="514" width="27.109375" customWidth="1"/>
    <col min="515" max="515" width="8.109375" customWidth="1"/>
    <col min="516" max="516" width="3" bestFit="1" customWidth="1"/>
    <col min="517" max="517" width="18.6640625" bestFit="1" customWidth="1"/>
    <col min="518" max="518" width="7" bestFit="1" customWidth="1"/>
    <col min="519" max="519" width="2" bestFit="1" customWidth="1"/>
    <col min="520" max="521" width="7.6640625" customWidth="1"/>
    <col min="522" max="522" width="18.6640625" bestFit="1" customWidth="1"/>
    <col min="523" max="523" width="7.6640625" customWidth="1"/>
    <col min="769" max="769" width="2" bestFit="1" customWidth="1"/>
    <col min="770" max="770" width="27.109375" customWidth="1"/>
    <col min="771" max="771" width="8.109375" customWidth="1"/>
    <col min="772" max="772" width="3" bestFit="1" customWidth="1"/>
    <col min="773" max="773" width="18.6640625" bestFit="1" customWidth="1"/>
    <col min="774" max="774" width="7" bestFit="1" customWidth="1"/>
    <col min="775" max="775" width="2" bestFit="1" customWidth="1"/>
    <col min="776" max="777" width="7.6640625" customWidth="1"/>
    <col min="778" max="778" width="18.6640625" bestFit="1" customWidth="1"/>
    <col min="779" max="779" width="7.6640625" customWidth="1"/>
    <col min="1025" max="1025" width="2" bestFit="1" customWidth="1"/>
    <col min="1026" max="1026" width="27.109375" customWidth="1"/>
    <col min="1027" max="1027" width="8.109375" customWidth="1"/>
    <col min="1028" max="1028" width="3" bestFit="1" customWidth="1"/>
    <col min="1029" max="1029" width="18.6640625" bestFit="1" customWidth="1"/>
    <col min="1030" max="1030" width="7" bestFit="1" customWidth="1"/>
    <col min="1031" max="1031" width="2" bestFit="1" customWidth="1"/>
    <col min="1032" max="1033" width="7.6640625" customWidth="1"/>
    <col min="1034" max="1034" width="18.6640625" bestFit="1" customWidth="1"/>
    <col min="1035" max="1035" width="7.6640625" customWidth="1"/>
    <col min="1281" max="1281" width="2" bestFit="1" customWidth="1"/>
    <col min="1282" max="1282" width="27.109375" customWidth="1"/>
    <col min="1283" max="1283" width="8.109375" customWidth="1"/>
    <col min="1284" max="1284" width="3" bestFit="1" customWidth="1"/>
    <col min="1285" max="1285" width="18.6640625" bestFit="1" customWidth="1"/>
    <col min="1286" max="1286" width="7" bestFit="1" customWidth="1"/>
    <col min="1287" max="1287" width="2" bestFit="1" customWidth="1"/>
    <col min="1288" max="1289" width="7.6640625" customWidth="1"/>
    <col min="1290" max="1290" width="18.6640625" bestFit="1" customWidth="1"/>
    <col min="1291" max="1291" width="7.6640625" customWidth="1"/>
    <col min="1537" max="1537" width="2" bestFit="1" customWidth="1"/>
    <col min="1538" max="1538" width="27.109375" customWidth="1"/>
    <col min="1539" max="1539" width="8.109375" customWidth="1"/>
    <col min="1540" max="1540" width="3" bestFit="1" customWidth="1"/>
    <col min="1541" max="1541" width="18.6640625" bestFit="1" customWidth="1"/>
    <col min="1542" max="1542" width="7" bestFit="1" customWidth="1"/>
    <col min="1543" max="1543" width="2" bestFit="1" customWidth="1"/>
    <col min="1544" max="1545" width="7.6640625" customWidth="1"/>
    <col min="1546" max="1546" width="18.6640625" bestFit="1" customWidth="1"/>
    <col min="1547" max="1547" width="7.6640625" customWidth="1"/>
    <col min="1793" max="1793" width="2" bestFit="1" customWidth="1"/>
    <col min="1794" max="1794" width="27.109375" customWidth="1"/>
    <col min="1795" max="1795" width="8.109375" customWidth="1"/>
    <col min="1796" max="1796" width="3" bestFit="1" customWidth="1"/>
    <col min="1797" max="1797" width="18.6640625" bestFit="1" customWidth="1"/>
    <col min="1798" max="1798" width="7" bestFit="1" customWidth="1"/>
    <col min="1799" max="1799" width="2" bestFit="1" customWidth="1"/>
    <col min="1800" max="1801" width="7.6640625" customWidth="1"/>
    <col min="1802" max="1802" width="18.6640625" bestFit="1" customWidth="1"/>
    <col min="1803" max="1803" width="7.6640625" customWidth="1"/>
    <col min="2049" max="2049" width="2" bestFit="1" customWidth="1"/>
    <col min="2050" max="2050" width="27.109375" customWidth="1"/>
    <col min="2051" max="2051" width="8.109375" customWidth="1"/>
    <col min="2052" max="2052" width="3" bestFit="1" customWidth="1"/>
    <col min="2053" max="2053" width="18.6640625" bestFit="1" customWidth="1"/>
    <col min="2054" max="2054" width="7" bestFit="1" customWidth="1"/>
    <col min="2055" max="2055" width="2" bestFit="1" customWidth="1"/>
    <col min="2056" max="2057" width="7.6640625" customWidth="1"/>
    <col min="2058" max="2058" width="18.6640625" bestFit="1" customWidth="1"/>
    <col min="2059" max="2059" width="7.6640625" customWidth="1"/>
    <col min="2305" max="2305" width="2" bestFit="1" customWidth="1"/>
    <col min="2306" max="2306" width="27.109375" customWidth="1"/>
    <col min="2307" max="2307" width="8.109375" customWidth="1"/>
    <col min="2308" max="2308" width="3" bestFit="1" customWidth="1"/>
    <col min="2309" max="2309" width="18.6640625" bestFit="1" customWidth="1"/>
    <col min="2310" max="2310" width="7" bestFit="1" customWidth="1"/>
    <col min="2311" max="2311" width="2" bestFit="1" customWidth="1"/>
    <col min="2312" max="2313" width="7.6640625" customWidth="1"/>
    <col min="2314" max="2314" width="18.6640625" bestFit="1" customWidth="1"/>
    <col min="2315" max="2315" width="7.6640625" customWidth="1"/>
    <col min="2561" max="2561" width="2" bestFit="1" customWidth="1"/>
    <col min="2562" max="2562" width="27.109375" customWidth="1"/>
    <col min="2563" max="2563" width="8.109375" customWidth="1"/>
    <col min="2564" max="2564" width="3" bestFit="1" customWidth="1"/>
    <col min="2565" max="2565" width="18.6640625" bestFit="1" customWidth="1"/>
    <col min="2566" max="2566" width="7" bestFit="1" customWidth="1"/>
    <col min="2567" max="2567" width="2" bestFit="1" customWidth="1"/>
    <col min="2568" max="2569" width="7.6640625" customWidth="1"/>
    <col min="2570" max="2570" width="18.6640625" bestFit="1" customWidth="1"/>
    <col min="2571" max="2571" width="7.6640625" customWidth="1"/>
    <col min="2817" max="2817" width="2" bestFit="1" customWidth="1"/>
    <col min="2818" max="2818" width="27.109375" customWidth="1"/>
    <col min="2819" max="2819" width="8.109375" customWidth="1"/>
    <col min="2820" max="2820" width="3" bestFit="1" customWidth="1"/>
    <col min="2821" max="2821" width="18.6640625" bestFit="1" customWidth="1"/>
    <col min="2822" max="2822" width="7" bestFit="1" customWidth="1"/>
    <col min="2823" max="2823" width="2" bestFit="1" customWidth="1"/>
    <col min="2824" max="2825" width="7.6640625" customWidth="1"/>
    <col min="2826" max="2826" width="18.6640625" bestFit="1" customWidth="1"/>
    <col min="2827" max="2827" width="7.6640625" customWidth="1"/>
    <col min="3073" max="3073" width="2" bestFit="1" customWidth="1"/>
    <col min="3074" max="3074" width="27.109375" customWidth="1"/>
    <col min="3075" max="3075" width="8.109375" customWidth="1"/>
    <col min="3076" max="3076" width="3" bestFit="1" customWidth="1"/>
    <col min="3077" max="3077" width="18.6640625" bestFit="1" customWidth="1"/>
    <col min="3078" max="3078" width="7" bestFit="1" customWidth="1"/>
    <col min="3079" max="3079" width="2" bestFit="1" customWidth="1"/>
    <col min="3080" max="3081" width="7.6640625" customWidth="1"/>
    <col min="3082" max="3082" width="18.6640625" bestFit="1" customWidth="1"/>
    <col min="3083" max="3083" width="7.6640625" customWidth="1"/>
    <col min="3329" max="3329" width="2" bestFit="1" customWidth="1"/>
    <col min="3330" max="3330" width="27.109375" customWidth="1"/>
    <col min="3331" max="3331" width="8.109375" customWidth="1"/>
    <col min="3332" max="3332" width="3" bestFit="1" customWidth="1"/>
    <col min="3333" max="3333" width="18.6640625" bestFit="1" customWidth="1"/>
    <col min="3334" max="3334" width="7" bestFit="1" customWidth="1"/>
    <col min="3335" max="3335" width="2" bestFit="1" customWidth="1"/>
    <col min="3336" max="3337" width="7.6640625" customWidth="1"/>
    <col min="3338" max="3338" width="18.6640625" bestFit="1" customWidth="1"/>
    <col min="3339" max="3339" width="7.6640625" customWidth="1"/>
    <col min="3585" max="3585" width="2" bestFit="1" customWidth="1"/>
    <col min="3586" max="3586" width="27.109375" customWidth="1"/>
    <col min="3587" max="3587" width="8.109375" customWidth="1"/>
    <col min="3588" max="3588" width="3" bestFit="1" customWidth="1"/>
    <col min="3589" max="3589" width="18.6640625" bestFit="1" customWidth="1"/>
    <col min="3590" max="3590" width="7" bestFit="1" customWidth="1"/>
    <col min="3591" max="3591" width="2" bestFit="1" customWidth="1"/>
    <col min="3592" max="3593" width="7.6640625" customWidth="1"/>
    <col min="3594" max="3594" width="18.6640625" bestFit="1" customWidth="1"/>
    <col min="3595" max="3595" width="7.6640625" customWidth="1"/>
    <col min="3841" max="3841" width="2" bestFit="1" customWidth="1"/>
    <col min="3842" max="3842" width="27.109375" customWidth="1"/>
    <col min="3843" max="3843" width="8.109375" customWidth="1"/>
    <col min="3844" max="3844" width="3" bestFit="1" customWidth="1"/>
    <col min="3845" max="3845" width="18.6640625" bestFit="1" customWidth="1"/>
    <col min="3846" max="3846" width="7" bestFit="1" customWidth="1"/>
    <col min="3847" max="3847" width="2" bestFit="1" customWidth="1"/>
    <col min="3848" max="3849" width="7.6640625" customWidth="1"/>
    <col min="3850" max="3850" width="18.6640625" bestFit="1" customWidth="1"/>
    <col min="3851" max="3851" width="7.6640625" customWidth="1"/>
    <col min="4097" max="4097" width="2" bestFit="1" customWidth="1"/>
    <col min="4098" max="4098" width="27.109375" customWidth="1"/>
    <col min="4099" max="4099" width="8.109375" customWidth="1"/>
    <col min="4100" max="4100" width="3" bestFit="1" customWidth="1"/>
    <col min="4101" max="4101" width="18.6640625" bestFit="1" customWidth="1"/>
    <col min="4102" max="4102" width="7" bestFit="1" customWidth="1"/>
    <col min="4103" max="4103" width="2" bestFit="1" customWidth="1"/>
    <col min="4104" max="4105" width="7.6640625" customWidth="1"/>
    <col min="4106" max="4106" width="18.6640625" bestFit="1" customWidth="1"/>
    <col min="4107" max="4107" width="7.6640625" customWidth="1"/>
    <col min="4353" max="4353" width="2" bestFit="1" customWidth="1"/>
    <col min="4354" max="4354" width="27.109375" customWidth="1"/>
    <col min="4355" max="4355" width="8.109375" customWidth="1"/>
    <col min="4356" max="4356" width="3" bestFit="1" customWidth="1"/>
    <col min="4357" max="4357" width="18.6640625" bestFit="1" customWidth="1"/>
    <col min="4358" max="4358" width="7" bestFit="1" customWidth="1"/>
    <col min="4359" max="4359" width="2" bestFit="1" customWidth="1"/>
    <col min="4360" max="4361" width="7.6640625" customWidth="1"/>
    <col min="4362" max="4362" width="18.6640625" bestFit="1" customWidth="1"/>
    <col min="4363" max="4363" width="7.6640625" customWidth="1"/>
    <col min="4609" max="4609" width="2" bestFit="1" customWidth="1"/>
    <col min="4610" max="4610" width="27.109375" customWidth="1"/>
    <col min="4611" max="4611" width="8.109375" customWidth="1"/>
    <col min="4612" max="4612" width="3" bestFit="1" customWidth="1"/>
    <col min="4613" max="4613" width="18.6640625" bestFit="1" customWidth="1"/>
    <col min="4614" max="4614" width="7" bestFit="1" customWidth="1"/>
    <col min="4615" max="4615" width="2" bestFit="1" customWidth="1"/>
    <col min="4616" max="4617" width="7.6640625" customWidth="1"/>
    <col min="4618" max="4618" width="18.6640625" bestFit="1" customWidth="1"/>
    <col min="4619" max="4619" width="7.6640625" customWidth="1"/>
    <col min="4865" max="4865" width="2" bestFit="1" customWidth="1"/>
    <col min="4866" max="4866" width="27.109375" customWidth="1"/>
    <col min="4867" max="4867" width="8.109375" customWidth="1"/>
    <col min="4868" max="4868" width="3" bestFit="1" customWidth="1"/>
    <col min="4869" max="4869" width="18.6640625" bestFit="1" customWidth="1"/>
    <col min="4870" max="4870" width="7" bestFit="1" customWidth="1"/>
    <col min="4871" max="4871" width="2" bestFit="1" customWidth="1"/>
    <col min="4872" max="4873" width="7.6640625" customWidth="1"/>
    <col min="4874" max="4874" width="18.6640625" bestFit="1" customWidth="1"/>
    <col min="4875" max="4875" width="7.6640625" customWidth="1"/>
    <col min="5121" max="5121" width="2" bestFit="1" customWidth="1"/>
    <col min="5122" max="5122" width="27.109375" customWidth="1"/>
    <col min="5123" max="5123" width="8.109375" customWidth="1"/>
    <col min="5124" max="5124" width="3" bestFit="1" customWidth="1"/>
    <col min="5125" max="5125" width="18.6640625" bestFit="1" customWidth="1"/>
    <col min="5126" max="5126" width="7" bestFit="1" customWidth="1"/>
    <col min="5127" max="5127" width="2" bestFit="1" customWidth="1"/>
    <col min="5128" max="5129" width="7.6640625" customWidth="1"/>
    <col min="5130" max="5130" width="18.6640625" bestFit="1" customWidth="1"/>
    <col min="5131" max="5131" width="7.6640625" customWidth="1"/>
    <col min="5377" max="5377" width="2" bestFit="1" customWidth="1"/>
    <col min="5378" max="5378" width="27.109375" customWidth="1"/>
    <col min="5379" max="5379" width="8.109375" customWidth="1"/>
    <col min="5380" max="5380" width="3" bestFit="1" customWidth="1"/>
    <col min="5381" max="5381" width="18.6640625" bestFit="1" customWidth="1"/>
    <col min="5382" max="5382" width="7" bestFit="1" customWidth="1"/>
    <col min="5383" max="5383" width="2" bestFit="1" customWidth="1"/>
    <col min="5384" max="5385" width="7.6640625" customWidth="1"/>
    <col min="5386" max="5386" width="18.6640625" bestFit="1" customWidth="1"/>
    <col min="5387" max="5387" width="7.6640625" customWidth="1"/>
    <col min="5633" max="5633" width="2" bestFit="1" customWidth="1"/>
    <col min="5634" max="5634" width="27.109375" customWidth="1"/>
    <col min="5635" max="5635" width="8.109375" customWidth="1"/>
    <col min="5636" max="5636" width="3" bestFit="1" customWidth="1"/>
    <col min="5637" max="5637" width="18.6640625" bestFit="1" customWidth="1"/>
    <col min="5638" max="5638" width="7" bestFit="1" customWidth="1"/>
    <col min="5639" max="5639" width="2" bestFit="1" customWidth="1"/>
    <col min="5640" max="5641" width="7.6640625" customWidth="1"/>
    <col min="5642" max="5642" width="18.6640625" bestFit="1" customWidth="1"/>
    <col min="5643" max="5643" width="7.6640625" customWidth="1"/>
    <col min="5889" max="5889" width="2" bestFit="1" customWidth="1"/>
    <col min="5890" max="5890" width="27.109375" customWidth="1"/>
    <col min="5891" max="5891" width="8.109375" customWidth="1"/>
    <col min="5892" max="5892" width="3" bestFit="1" customWidth="1"/>
    <col min="5893" max="5893" width="18.6640625" bestFit="1" customWidth="1"/>
    <col min="5894" max="5894" width="7" bestFit="1" customWidth="1"/>
    <col min="5895" max="5895" width="2" bestFit="1" customWidth="1"/>
    <col min="5896" max="5897" width="7.6640625" customWidth="1"/>
    <col min="5898" max="5898" width="18.6640625" bestFit="1" customWidth="1"/>
    <col min="5899" max="5899" width="7.6640625" customWidth="1"/>
    <col min="6145" max="6145" width="2" bestFit="1" customWidth="1"/>
    <col min="6146" max="6146" width="27.109375" customWidth="1"/>
    <col min="6147" max="6147" width="8.109375" customWidth="1"/>
    <col min="6148" max="6148" width="3" bestFit="1" customWidth="1"/>
    <col min="6149" max="6149" width="18.6640625" bestFit="1" customWidth="1"/>
    <col min="6150" max="6150" width="7" bestFit="1" customWidth="1"/>
    <col min="6151" max="6151" width="2" bestFit="1" customWidth="1"/>
    <col min="6152" max="6153" width="7.6640625" customWidth="1"/>
    <col min="6154" max="6154" width="18.6640625" bestFit="1" customWidth="1"/>
    <col min="6155" max="6155" width="7.6640625" customWidth="1"/>
    <col min="6401" max="6401" width="2" bestFit="1" customWidth="1"/>
    <col min="6402" max="6402" width="27.109375" customWidth="1"/>
    <col min="6403" max="6403" width="8.109375" customWidth="1"/>
    <col min="6404" max="6404" width="3" bestFit="1" customWidth="1"/>
    <col min="6405" max="6405" width="18.6640625" bestFit="1" customWidth="1"/>
    <col min="6406" max="6406" width="7" bestFit="1" customWidth="1"/>
    <col min="6407" max="6407" width="2" bestFit="1" customWidth="1"/>
    <col min="6408" max="6409" width="7.6640625" customWidth="1"/>
    <col min="6410" max="6410" width="18.6640625" bestFit="1" customWidth="1"/>
    <col min="6411" max="6411" width="7.6640625" customWidth="1"/>
    <col min="6657" max="6657" width="2" bestFit="1" customWidth="1"/>
    <col min="6658" max="6658" width="27.109375" customWidth="1"/>
    <col min="6659" max="6659" width="8.109375" customWidth="1"/>
    <col min="6660" max="6660" width="3" bestFit="1" customWidth="1"/>
    <col min="6661" max="6661" width="18.6640625" bestFit="1" customWidth="1"/>
    <col min="6662" max="6662" width="7" bestFit="1" customWidth="1"/>
    <col min="6663" max="6663" width="2" bestFit="1" customWidth="1"/>
    <col min="6664" max="6665" width="7.6640625" customWidth="1"/>
    <col min="6666" max="6666" width="18.6640625" bestFit="1" customWidth="1"/>
    <col min="6667" max="6667" width="7.6640625" customWidth="1"/>
    <col min="6913" max="6913" width="2" bestFit="1" customWidth="1"/>
    <col min="6914" max="6914" width="27.109375" customWidth="1"/>
    <col min="6915" max="6915" width="8.109375" customWidth="1"/>
    <col min="6916" max="6916" width="3" bestFit="1" customWidth="1"/>
    <col min="6917" max="6917" width="18.6640625" bestFit="1" customWidth="1"/>
    <col min="6918" max="6918" width="7" bestFit="1" customWidth="1"/>
    <col min="6919" max="6919" width="2" bestFit="1" customWidth="1"/>
    <col min="6920" max="6921" width="7.6640625" customWidth="1"/>
    <col min="6922" max="6922" width="18.6640625" bestFit="1" customWidth="1"/>
    <col min="6923" max="6923" width="7.6640625" customWidth="1"/>
    <col min="7169" max="7169" width="2" bestFit="1" customWidth="1"/>
    <col min="7170" max="7170" width="27.109375" customWidth="1"/>
    <col min="7171" max="7171" width="8.109375" customWidth="1"/>
    <col min="7172" max="7172" width="3" bestFit="1" customWidth="1"/>
    <col min="7173" max="7173" width="18.6640625" bestFit="1" customWidth="1"/>
    <col min="7174" max="7174" width="7" bestFit="1" customWidth="1"/>
    <col min="7175" max="7175" width="2" bestFit="1" customWidth="1"/>
    <col min="7176" max="7177" width="7.6640625" customWidth="1"/>
    <col min="7178" max="7178" width="18.6640625" bestFit="1" customWidth="1"/>
    <col min="7179" max="7179" width="7.6640625" customWidth="1"/>
    <col min="7425" max="7425" width="2" bestFit="1" customWidth="1"/>
    <col min="7426" max="7426" width="27.109375" customWidth="1"/>
    <col min="7427" max="7427" width="8.109375" customWidth="1"/>
    <col min="7428" max="7428" width="3" bestFit="1" customWidth="1"/>
    <col min="7429" max="7429" width="18.6640625" bestFit="1" customWidth="1"/>
    <col min="7430" max="7430" width="7" bestFit="1" customWidth="1"/>
    <col min="7431" max="7431" width="2" bestFit="1" customWidth="1"/>
    <col min="7432" max="7433" width="7.6640625" customWidth="1"/>
    <col min="7434" max="7434" width="18.6640625" bestFit="1" customWidth="1"/>
    <col min="7435" max="7435" width="7.6640625" customWidth="1"/>
    <col min="7681" max="7681" width="2" bestFit="1" customWidth="1"/>
    <col min="7682" max="7682" width="27.109375" customWidth="1"/>
    <col min="7683" max="7683" width="8.109375" customWidth="1"/>
    <col min="7684" max="7684" width="3" bestFit="1" customWidth="1"/>
    <col min="7685" max="7685" width="18.6640625" bestFit="1" customWidth="1"/>
    <col min="7686" max="7686" width="7" bestFit="1" customWidth="1"/>
    <col min="7687" max="7687" width="2" bestFit="1" customWidth="1"/>
    <col min="7688" max="7689" width="7.6640625" customWidth="1"/>
    <col min="7690" max="7690" width="18.6640625" bestFit="1" customWidth="1"/>
    <col min="7691" max="7691" width="7.6640625" customWidth="1"/>
    <col min="7937" max="7937" width="2" bestFit="1" customWidth="1"/>
    <col min="7938" max="7938" width="27.109375" customWidth="1"/>
    <col min="7939" max="7939" width="8.109375" customWidth="1"/>
    <col min="7940" max="7940" width="3" bestFit="1" customWidth="1"/>
    <col min="7941" max="7941" width="18.6640625" bestFit="1" customWidth="1"/>
    <col min="7942" max="7942" width="7" bestFit="1" customWidth="1"/>
    <col min="7943" max="7943" width="2" bestFit="1" customWidth="1"/>
    <col min="7944" max="7945" width="7.6640625" customWidth="1"/>
    <col min="7946" max="7946" width="18.6640625" bestFit="1" customWidth="1"/>
    <col min="7947" max="7947" width="7.6640625" customWidth="1"/>
    <col min="8193" max="8193" width="2" bestFit="1" customWidth="1"/>
    <col min="8194" max="8194" width="27.109375" customWidth="1"/>
    <col min="8195" max="8195" width="8.109375" customWidth="1"/>
    <col min="8196" max="8196" width="3" bestFit="1" customWidth="1"/>
    <col min="8197" max="8197" width="18.6640625" bestFit="1" customWidth="1"/>
    <col min="8198" max="8198" width="7" bestFit="1" customWidth="1"/>
    <col min="8199" max="8199" width="2" bestFit="1" customWidth="1"/>
    <col min="8200" max="8201" width="7.6640625" customWidth="1"/>
    <col min="8202" max="8202" width="18.6640625" bestFit="1" customWidth="1"/>
    <col min="8203" max="8203" width="7.6640625" customWidth="1"/>
    <col min="8449" max="8449" width="2" bestFit="1" customWidth="1"/>
    <col min="8450" max="8450" width="27.109375" customWidth="1"/>
    <col min="8451" max="8451" width="8.109375" customWidth="1"/>
    <col min="8452" max="8452" width="3" bestFit="1" customWidth="1"/>
    <col min="8453" max="8453" width="18.6640625" bestFit="1" customWidth="1"/>
    <col min="8454" max="8454" width="7" bestFit="1" customWidth="1"/>
    <col min="8455" max="8455" width="2" bestFit="1" customWidth="1"/>
    <col min="8456" max="8457" width="7.6640625" customWidth="1"/>
    <col min="8458" max="8458" width="18.6640625" bestFit="1" customWidth="1"/>
    <col min="8459" max="8459" width="7.6640625" customWidth="1"/>
    <col min="8705" max="8705" width="2" bestFit="1" customWidth="1"/>
    <col min="8706" max="8706" width="27.109375" customWidth="1"/>
    <col min="8707" max="8707" width="8.109375" customWidth="1"/>
    <col min="8708" max="8708" width="3" bestFit="1" customWidth="1"/>
    <col min="8709" max="8709" width="18.6640625" bestFit="1" customWidth="1"/>
    <col min="8710" max="8710" width="7" bestFit="1" customWidth="1"/>
    <col min="8711" max="8711" width="2" bestFit="1" customWidth="1"/>
    <col min="8712" max="8713" width="7.6640625" customWidth="1"/>
    <col min="8714" max="8714" width="18.6640625" bestFit="1" customWidth="1"/>
    <col min="8715" max="8715" width="7.6640625" customWidth="1"/>
    <col min="8961" max="8961" width="2" bestFit="1" customWidth="1"/>
    <col min="8962" max="8962" width="27.109375" customWidth="1"/>
    <col min="8963" max="8963" width="8.109375" customWidth="1"/>
    <col min="8964" max="8964" width="3" bestFit="1" customWidth="1"/>
    <col min="8965" max="8965" width="18.6640625" bestFit="1" customWidth="1"/>
    <col min="8966" max="8966" width="7" bestFit="1" customWidth="1"/>
    <col min="8967" max="8967" width="2" bestFit="1" customWidth="1"/>
    <col min="8968" max="8969" width="7.6640625" customWidth="1"/>
    <col min="8970" max="8970" width="18.6640625" bestFit="1" customWidth="1"/>
    <col min="8971" max="8971" width="7.6640625" customWidth="1"/>
    <col min="9217" max="9217" width="2" bestFit="1" customWidth="1"/>
    <col min="9218" max="9218" width="27.109375" customWidth="1"/>
    <col min="9219" max="9219" width="8.109375" customWidth="1"/>
    <col min="9220" max="9220" width="3" bestFit="1" customWidth="1"/>
    <col min="9221" max="9221" width="18.6640625" bestFit="1" customWidth="1"/>
    <col min="9222" max="9222" width="7" bestFit="1" customWidth="1"/>
    <col min="9223" max="9223" width="2" bestFit="1" customWidth="1"/>
    <col min="9224" max="9225" width="7.6640625" customWidth="1"/>
    <col min="9226" max="9226" width="18.6640625" bestFit="1" customWidth="1"/>
    <col min="9227" max="9227" width="7.6640625" customWidth="1"/>
    <col min="9473" max="9473" width="2" bestFit="1" customWidth="1"/>
    <col min="9474" max="9474" width="27.109375" customWidth="1"/>
    <col min="9475" max="9475" width="8.109375" customWidth="1"/>
    <col min="9476" max="9476" width="3" bestFit="1" customWidth="1"/>
    <col min="9477" max="9477" width="18.6640625" bestFit="1" customWidth="1"/>
    <col min="9478" max="9478" width="7" bestFit="1" customWidth="1"/>
    <col min="9479" max="9479" width="2" bestFit="1" customWidth="1"/>
    <col min="9480" max="9481" width="7.6640625" customWidth="1"/>
    <col min="9482" max="9482" width="18.6640625" bestFit="1" customWidth="1"/>
    <col min="9483" max="9483" width="7.6640625" customWidth="1"/>
    <col min="9729" max="9729" width="2" bestFit="1" customWidth="1"/>
    <col min="9730" max="9730" width="27.109375" customWidth="1"/>
    <col min="9731" max="9731" width="8.109375" customWidth="1"/>
    <col min="9732" max="9732" width="3" bestFit="1" customWidth="1"/>
    <col min="9733" max="9733" width="18.6640625" bestFit="1" customWidth="1"/>
    <col min="9734" max="9734" width="7" bestFit="1" customWidth="1"/>
    <col min="9735" max="9735" width="2" bestFit="1" customWidth="1"/>
    <col min="9736" max="9737" width="7.6640625" customWidth="1"/>
    <col min="9738" max="9738" width="18.6640625" bestFit="1" customWidth="1"/>
    <col min="9739" max="9739" width="7.6640625" customWidth="1"/>
    <col min="9985" max="9985" width="2" bestFit="1" customWidth="1"/>
    <col min="9986" max="9986" width="27.109375" customWidth="1"/>
    <col min="9987" max="9987" width="8.109375" customWidth="1"/>
    <col min="9988" max="9988" width="3" bestFit="1" customWidth="1"/>
    <col min="9989" max="9989" width="18.6640625" bestFit="1" customWidth="1"/>
    <col min="9990" max="9990" width="7" bestFit="1" customWidth="1"/>
    <col min="9991" max="9991" width="2" bestFit="1" customWidth="1"/>
    <col min="9992" max="9993" width="7.6640625" customWidth="1"/>
    <col min="9994" max="9994" width="18.6640625" bestFit="1" customWidth="1"/>
    <col min="9995" max="9995" width="7.6640625" customWidth="1"/>
    <col min="10241" max="10241" width="2" bestFit="1" customWidth="1"/>
    <col min="10242" max="10242" width="27.109375" customWidth="1"/>
    <col min="10243" max="10243" width="8.109375" customWidth="1"/>
    <col min="10244" max="10244" width="3" bestFit="1" customWidth="1"/>
    <col min="10245" max="10245" width="18.6640625" bestFit="1" customWidth="1"/>
    <col min="10246" max="10246" width="7" bestFit="1" customWidth="1"/>
    <col min="10247" max="10247" width="2" bestFit="1" customWidth="1"/>
    <col min="10248" max="10249" width="7.6640625" customWidth="1"/>
    <col min="10250" max="10250" width="18.6640625" bestFit="1" customWidth="1"/>
    <col min="10251" max="10251" width="7.6640625" customWidth="1"/>
    <col min="10497" max="10497" width="2" bestFit="1" customWidth="1"/>
    <col min="10498" max="10498" width="27.109375" customWidth="1"/>
    <col min="10499" max="10499" width="8.109375" customWidth="1"/>
    <col min="10500" max="10500" width="3" bestFit="1" customWidth="1"/>
    <col min="10501" max="10501" width="18.6640625" bestFit="1" customWidth="1"/>
    <col min="10502" max="10502" width="7" bestFit="1" customWidth="1"/>
    <col min="10503" max="10503" width="2" bestFit="1" customWidth="1"/>
    <col min="10504" max="10505" width="7.6640625" customWidth="1"/>
    <col min="10506" max="10506" width="18.6640625" bestFit="1" customWidth="1"/>
    <col min="10507" max="10507" width="7.6640625" customWidth="1"/>
    <col min="10753" max="10753" width="2" bestFit="1" customWidth="1"/>
    <col min="10754" max="10754" width="27.109375" customWidth="1"/>
    <col min="10755" max="10755" width="8.109375" customWidth="1"/>
    <col min="10756" max="10756" width="3" bestFit="1" customWidth="1"/>
    <col min="10757" max="10757" width="18.6640625" bestFit="1" customWidth="1"/>
    <col min="10758" max="10758" width="7" bestFit="1" customWidth="1"/>
    <col min="10759" max="10759" width="2" bestFit="1" customWidth="1"/>
    <col min="10760" max="10761" width="7.6640625" customWidth="1"/>
    <col min="10762" max="10762" width="18.6640625" bestFit="1" customWidth="1"/>
    <col min="10763" max="10763" width="7.6640625" customWidth="1"/>
    <col min="11009" max="11009" width="2" bestFit="1" customWidth="1"/>
    <col min="11010" max="11010" width="27.109375" customWidth="1"/>
    <col min="11011" max="11011" width="8.109375" customWidth="1"/>
    <col min="11012" max="11012" width="3" bestFit="1" customWidth="1"/>
    <col min="11013" max="11013" width="18.6640625" bestFit="1" customWidth="1"/>
    <col min="11014" max="11014" width="7" bestFit="1" customWidth="1"/>
    <col min="11015" max="11015" width="2" bestFit="1" customWidth="1"/>
    <col min="11016" max="11017" width="7.6640625" customWidth="1"/>
    <col min="11018" max="11018" width="18.6640625" bestFit="1" customWidth="1"/>
    <col min="11019" max="11019" width="7.6640625" customWidth="1"/>
    <col min="11265" max="11265" width="2" bestFit="1" customWidth="1"/>
    <col min="11266" max="11266" width="27.109375" customWidth="1"/>
    <col min="11267" max="11267" width="8.109375" customWidth="1"/>
    <col min="11268" max="11268" width="3" bestFit="1" customWidth="1"/>
    <col min="11269" max="11269" width="18.6640625" bestFit="1" customWidth="1"/>
    <col min="11270" max="11270" width="7" bestFit="1" customWidth="1"/>
    <col min="11271" max="11271" width="2" bestFit="1" customWidth="1"/>
    <col min="11272" max="11273" width="7.6640625" customWidth="1"/>
    <col min="11274" max="11274" width="18.6640625" bestFit="1" customWidth="1"/>
    <col min="11275" max="11275" width="7.6640625" customWidth="1"/>
    <col min="11521" max="11521" width="2" bestFit="1" customWidth="1"/>
    <col min="11522" max="11522" width="27.109375" customWidth="1"/>
    <col min="11523" max="11523" width="8.109375" customWidth="1"/>
    <col min="11524" max="11524" width="3" bestFit="1" customWidth="1"/>
    <col min="11525" max="11525" width="18.6640625" bestFit="1" customWidth="1"/>
    <col min="11526" max="11526" width="7" bestFit="1" customWidth="1"/>
    <col min="11527" max="11527" width="2" bestFit="1" customWidth="1"/>
    <col min="11528" max="11529" width="7.6640625" customWidth="1"/>
    <col min="11530" max="11530" width="18.6640625" bestFit="1" customWidth="1"/>
    <col min="11531" max="11531" width="7.6640625" customWidth="1"/>
    <col min="11777" max="11777" width="2" bestFit="1" customWidth="1"/>
    <col min="11778" max="11778" width="27.109375" customWidth="1"/>
    <col min="11779" max="11779" width="8.109375" customWidth="1"/>
    <col min="11780" max="11780" width="3" bestFit="1" customWidth="1"/>
    <col min="11781" max="11781" width="18.6640625" bestFit="1" customWidth="1"/>
    <col min="11782" max="11782" width="7" bestFit="1" customWidth="1"/>
    <col min="11783" max="11783" width="2" bestFit="1" customWidth="1"/>
    <col min="11784" max="11785" width="7.6640625" customWidth="1"/>
    <col min="11786" max="11786" width="18.6640625" bestFit="1" customWidth="1"/>
    <col min="11787" max="11787" width="7.6640625" customWidth="1"/>
    <col min="12033" max="12033" width="2" bestFit="1" customWidth="1"/>
    <col min="12034" max="12034" width="27.109375" customWidth="1"/>
    <col min="12035" max="12035" width="8.109375" customWidth="1"/>
    <col min="12036" max="12036" width="3" bestFit="1" customWidth="1"/>
    <col min="12037" max="12037" width="18.6640625" bestFit="1" customWidth="1"/>
    <col min="12038" max="12038" width="7" bestFit="1" customWidth="1"/>
    <col min="12039" max="12039" width="2" bestFit="1" customWidth="1"/>
    <col min="12040" max="12041" width="7.6640625" customWidth="1"/>
    <col min="12042" max="12042" width="18.6640625" bestFit="1" customWidth="1"/>
    <col min="12043" max="12043" width="7.6640625" customWidth="1"/>
    <col min="12289" max="12289" width="2" bestFit="1" customWidth="1"/>
    <col min="12290" max="12290" width="27.109375" customWidth="1"/>
    <col min="12291" max="12291" width="8.109375" customWidth="1"/>
    <col min="12292" max="12292" width="3" bestFit="1" customWidth="1"/>
    <col min="12293" max="12293" width="18.6640625" bestFit="1" customWidth="1"/>
    <col min="12294" max="12294" width="7" bestFit="1" customWidth="1"/>
    <col min="12295" max="12295" width="2" bestFit="1" customWidth="1"/>
    <col min="12296" max="12297" width="7.6640625" customWidth="1"/>
    <col min="12298" max="12298" width="18.6640625" bestFit="1" customWidth="1"/>
    <col min="12299" max="12299" width="7.6640625" customWidth="1"/>
    <col min="12545" max="12545" width="2" bestFit="1" customWidth="1"/>
    <col min="12546" max="12546" width="27.109375" customWidth="1"/>
    <col min="12547" max="12547" width="8.109375" customWidth="1"/>
    <col min="12548" max="12548" width="3" bestFit="1" customWidth="1"/>
    <col min="12549" max="12549" width="18.6640625" bestFit="1" customWidth="1"/>
    <col min="12550" max="12550" width="7" bestFit="1" customWidth="1"/>
    <col min="12551" max="12551" width="2" bestFit="1" customWidth="1"/>
    <col min="12552" max="12553" width="7.6640625" customWidth="1"/>
    <col min="12554" max="12554" width="18.6640625" bestFit="1" customWidth="1"/>
    <col min="12555" max="12555" width="7.6640625" customWidth="1"/>
    <col min="12801" max="12801" width="2" bestFit="1" customWidth="1"/>
    <col min="12802" max="12802" width="27.109375" customWidth="1"/>
    <col min="12803" max="12803" width="8.109375" customWidth="1"/>
    <col min="12804" max="12804" width="3" bestFit="1" customWidth="1"/>
    <col min="12805" max="12805" width="18.6640625" bestFit="1" customWidth="1"/>
    <col min="12806" max="12806" width="7" bestFit="1" customWidth="1"/>
    <col min="12807" max="12807" width="2" bestFit="1" customWidth="1"/>
    <col min="12808" max="12809" width="7.6640625" customWidth="1"/>
    <col min="12810" max="12810" width="18.6640625" bestFit="1" customWidth="1"/>
    <col min="12811" max="12811" width="7.6640625" customWidth="1"/>
    <col min="13057" max="13057" width="2" bestFit="1" customWidth="1"/>
    <col min="13058" max="13058" width="27.109375" customWidth="1"/>
    <col min="13059" max="13059" width="8.109375" customWidth="1"/>
    <col min="13060" max="13060" width="3" bestFit="1" customWidth="1"/>
    <col min="13061" max="13061" width="18.6640625" bestFit="1" customWidth="1"/>
    <col min="13062" max="13062" width="7" bestFit="1" customWidth="1"/>
    <col min="13063" max="13063" width="2" bestFit="1" customWidth="1"/>
    <col min="13064" max="13065" width="7.6640625" customWidth="1"/>
    <col min="13066" max="13066" width="18.6640625" bestFit="1" customWidth="1"/>
    <col min="13067" max="13067" width="7.6640625" customWidth="1"/>
    <col min="13313" max="13313" width="2" bestFit="1" customWidth="1"/>
    <col min="13314" max="13314" width="27.109375" customWidth="1"/>
    <col min="13315" max="13315" width="8.109375" customWidth="1"/>
    <col min="13316" max="13316" width="3" bestFit="1" customWidth="1"/>
    <col min="13317" max="13317" width="18.6640625" bestFit="1" customWidth="1"/>
    <col min="13318" max="13318" width="7" bestFit="1" customWidth="1"/>
    <col min="13319" max="13319" width="2" bestFit="1" customWidth="1"/>
    <col min="13320" max="13321" width="7.6640625" customWidth="1"/>
    <col min="13322" max="13322" width="18.6640625" bestFit="1" customWidth="1"/>
    <col min="13323" max="13323" width="7.6640625" customWidth="1"/>
    <col min="13569" max="13569" width="2" bestFit="1" customWidth="1"/>
    <col min="13570" max="13570" width="27.109375" customWidth="1"/>
    <col min="13571" max="13571" width="8.109375" customWidth="1"/>
    <col min="13572" max="13572" width="3" bestFit="1" customWidth="1"/>
    <col min="13573" max="13573" width="18.6640625" bestFit="1" customWidth="1"/>
    <col min="13574" max="13574" width="7" bestFit="1" customWidth="1"/>
    <col min="13575" max="13575" width="2" bestFit="1" customWidth="1"/>
    <col min="13576" max="13577" width="7.6640625" customWidth="1"/>
    <col min="13578" max="13578" width="18.6640625" bestFit="1" customWidth="1"/>
    <col min="13579" max="13579" width="7.6640625" customWidth="1"/>
    <col min="13825" max="13825" width="2" bestFit="1" customWidth="1"/>
    <col min="13826" max="13826" width="27.109375" customWidth="1"/>
    <col min="13827" max="13827" width="8.109375" customWidth="1"/>
    <col min="13828" max="13828" width="3" bestFit="1" customWidth="1"/>
    <col min="13829" max="13829" width="18.6640625" bestFit="1" customWidth="1"/>
    <col min="13830" max="13830" width="7" bestFit="1" customWidth="1"/>
    <col min="13831" max="13831" width="2" bestFit="1" customWidth="1"/>
    <col min="13832" max="13833" width="7.6640625" customWidth="1"/>
    <col min="13834" max="13834" width="18.6640625" bestFit="1" customWidth="1"/>
    <col min="13835" max="13835" width="7.6640625" customWidth="1"/>
    <col min="14081" max="14081" width="2" bestFit="1" customWidth="1"/>
    <col min="14082" max="14082" width="27.109375" customWidth="1"/>
    <col min="14083" max="14083" width="8.109375" customWidth="1"/>
    <col min="14084" max="14084" width="3" bestFit="1" customWidth="1"/>
    <col min="14085" max="14085" width="18.6640625" bestFit="1" customWidth="1"/>
    <col min="14086" max="14086" width="7" bestFit="1" customWidth="1"/>
    <col min="14087" max="14087" width="2" bestFit="1" customWidth="1"/>
    <col min="14088" max="14089" width="7.6640625" customWidth="1"/>
    <col min="14090" max="14090" width="18.6640625" bestFit="1" customWidth="1"/>
    <col min="14091" max="14091" width="7.6640625" customWidth="1"/>
    <col min="14337" max="14337" width="2" bestFit="1" customWidth="1"/>
    <col min="14338" max="14338" width="27.109375" customWidth="1"/>
    <col min="14339" max="14339" width="8.109375" customWidth="1"/>
    <col min="14340" max="14340" width="3" bestFit="1" customWidth="1"/>
    <col min="14341" max="14341" width="18.6640625" bestFit="1" customWidth="1"/>
    <col min="14342" max="14342" width="7" bestFit="1" customWidth="1"/>
    <col min="14343" max="14343" width="2" bestFit="1" customWidth="1"/>
    <col min="14344" max="14345" width="7.6640625" customWidth="1"/>
    <col min="14346" max="14346" width="18.6640625" bestFit="1" customWidth="1"/>
    <col min="14347" max="14347" width="7.6640625" customWidth="1"/>
    <col min="14593" max="14593" width="2" bestFit="1" customWidth="1"/>
    <col min="14594" max="14594" width="27.109375" customWidth="1"/>
    <col min="14595" max="14595" width="8.109375" customWidth="1"/>
    <col min="14596" max="14596" width="3" bestFit="1" customWidth="1"/>
    <col min="14597" max="14597" width="18.6640625" bestFit="1" customWidth="1"/>
    <col min="14598" max="14598" width="7" bestFit="1" customWidth="1"/>
    <col min="14599" max="14599" width="2" bestFit="1" customWidth="1"/>
    <col min="14600" max="14601" width="7.6640625" customWidth="1"/>
    <col min="14602" max="14602" width="18.6640625" bestFit="1" customWidth="1"/>
    <col min="14603" max="14603" width="7.6640625" customWidth="1"/>
    <col min="14849" max="14849" width="2" bestFit="1" customWidth="1"/>
    <col min="14850" max="14850" width="27.109375" customWidth="1"/>
    <col min="14851" max="14851" width="8.109375" customWidth="1"/>
    <col min="14852" max="14852" width="3" bestFit="1" customWidth="1"/>
    <col min="14853" max="14853" width="18.6640625" bestFit="1" customWidth="1"/>
    <col min="14854" max="14854" width="7" bestFit="1" customWidth="1"/>
    <col min="14855" max="14855" width="2" bestFit="1" customWidth="1"/>
    <col min="14856" max="14857" width="7.6640625" customWidth="1"/>
    <col min="14858" max="14858" width="18.6640625" bestFit="1" customWidth="1"/>
    <col min="14859" max="14859" width="7.6640625" customWidth="1"/>
    <col min="15105" max="15105" width="2" bestFit="1" customWidth="1"/>
    <col min="15106" max="15106" width="27.109375" customWidth="1"/>
    <col min="15107" max="15107" width="8.109375" customWidth="1"/>
    <col min="15108" max="15108" width="3" bestFit="1" customWidth="1"/>
    <col min="15109" max="15109" width="18.6640625" bestFit="1" customWidth="1"/>
    <col min="15110" max="15110" width="7" bestFit="1" customWidth="1"/>
    <col min="15111" max="15111" width="2" bestFit="1" customWidth="1"/>
    <col min="15112" max="15113" width="7.6640625" customWidth="1"/>
    <col min="15114" max="15114" width="18.6640625" bestFit="1" customWidth="1"/>
    <col min="15115" max="15115" width="7.6640625" customWidth="1"/>
    <col min="15361" max="15361" width="2" bestFit="1" customWidth="1"/>
    <col min="15362" max="15362" width="27.109375" customWidth="1"/>
    <col min="15363" max="15363" width="8.109375" customWidth="1"/>
    <col min="15364" max="15364" width="3" bestFit="1" customWidth="1"/>
    <col min="15365" max="15365" width="18.6640625" bestFit="1" customWidth="1"/>
    <col min="15366" max="15366" width="7" bestFit="1" customWidth="1"/>
    <col min="15367" max="15367" width="2" bestFit="1" customWidth="1"/>
    <col min="15368" max="15369" width="7.6640625" customWidth="1"/>
    <col min="15370" max="15370" width="18.6640625" bestFit="1" customWidth="1"/>
    <col min="15371" max="15371" width="7.6640625" customWidth="1"/>
    <col min="15617" max="15617" width="2" bestFit="1" customWidth="1"/>
    <col min="15618" max="15618" width="27.109375" customWidth="1"/>
    <col min="15619" max="15619" width="8.109375" customWidth="1"/>
    <col min="15620" max="15620" width="3" bestFit="1" customWidth="1"/>
    <col min="15621" max="15621" width="18.6640625" bestFit="1" customWidth="1"/>
    <col min="15622" max="15622" width="7" bestFit="1" customWidth="1"/>
    <col min="15623" max="15623" width="2" bestFit="1" customWidth="1"/>
    <col min="15624" max="15625" width="7.6640625" customWidth="1"/>
    <col min="15626" max="15626" width="18.6640625" bestFit="1" customWidth="1"/>
    <col min="15627" max="15627" width="7.6640625" customWidth="1"/>
    <col min="15873" max="15873" width="2" bestFit="1" customWidth="1"/>
    <col min="15874" max="15874" width="27.109375" customWidth="1"/>
    <col min="15875" max="15875" width="8.109375" customWidth="1"/>
    <col min="15876" max="15876" width="3" bestFit="1" customWidth="1"/>
    <col min="15877" max="15877" width="18.6640625" bestFit="1" customWidth="1"/>
    <col min="15878" max="15878" width="7" bestFit="1" customWidth="1"/>
    <col min="15879" max="15879" width="2" bestFit="1" customWidth="1"/>
    <col min="15880" max="15881" width="7.6640625" customWidth="1"/>
    <col min="15882" max="15882" width="18.6640625" bestFit="1" customWidth="1"/>
    <col min="15883" max="15883" width="7.6640625" customWidth="1"/>
    <col min="16129" max="16129" width="2" bestFit="1" customWidth="1"/>
    <col min="16130" max="16130" width="27.109375" customWidth="1"/>
    <col min="16131" max="16131" width="8.109375" customWidth="1"/>
    <col min="16132" max="16132" width="3" bestFit="1" customWidth="1"/>
    <col min="16133" max="16133" width="18.6640625" bestFit="1" customWidth="1"/>
    <col min="16134" max="16134" width="7" bestFit="1" customWidth="1"/>
    <col min="16135" max="16135" width="2" bestFit="1" customWidth="1"/>
    <col min="16136" max="16137" width="7.6640625" customWidth="1"/>
    <col min="16138" max="16138" width="18.6640625" bestFit="1" customWidth="1"/>
    <col min="16139" max="16139" width="7.6640625" customWidth="1"/>
  </cols>
  <sheetData>
    <row r="1" spans="1:11" ht="43.2" x14ac:dyDescent="0.3">
      <c r="B1" s="34" t="str">
        <f>"If you deposit "&amp;DOLLAR(C5)&amp;" at the end of each year for the next "&amp;C4&amp;" years and you can earn "&amp;TEXT(C2,"0.00%")&amp;" compounded "&amp;C3&amp;" time a year, what is the Future Value?"</f>
        <v>If you deposit $50.00 at the end of each year for the next 3 years and you can earn 12.00% compounded 1 time a year, what is the Future Value?</v>
      </c>
      <c r="C1" s="34"/>
      <c r="D1" s="34"/>
      <c r="E1" s="34"/>
      <c r="G1" s="54">
        <v>1</v>
      </c>
      <c r="H1" s="141" t="s">
        <v>76</v>
      </c>
      <c r="I1" s="34"/>
      <c r="J1" s="34"/>
      <c r="K1" s="34"/>
    </row>
    <row r="2" spans="1:11" x14ac:dyDescent="0.3">
      <c r="B2" s="8" t="s">
        <v>57</v>
      </c>
      <c r="C2" s="1">
        <v>0.12</v>
      </c>
      <c r="H2" s="1">
        <v>0</v>
      </c>
      <c r="I2" s="1"/>
      <c r="J2" s="1"/>
      <c r="K2" s="1"/>
    </row>
    <row r="3" spans="1:11" x14ac:dyDescent="0.3">
      <c r="B3" s="8" t="s">
        <v>39</v>
      </c>
      <c r="C3" s="1">
        <v>1</v>
      </c>
      <c r="G3">
        <v>3</v>
      </c>
      <c r="H3" s="1">
        <v>1</v>
      </c>
      <c r="I3" s="1">
        <f>$C$5</f>
        <v>50</v>
      </c>
      <c r="J3" s="1" t="str">
        <f>"*(1+"&amp;$C$2&amp;"/"&amp;$C$3&amp;")^("&amp;$C$3&amp;"*"&amp;ROWS(I3:$I$5)-1&amp;")) ="</f>
        <v>*(1+0.12/1)^(1*2)) =</v>
      </c>
      <c r="K3" s="42">
        <f>I3*(1+$C$2/$C$3)^(G3-1)</f>
        <v>62.720000000000006</v>
      </c>
    </row>
    <row r="4" spans="1:11" x14ac:dyDescent="0.3">
      <c r="B4" s="8" t="s">
        <v>77</v>
      </c>
      <c r="C4" s="1">
        <v>3</v>
      </c>
      <c r="G4">
        <v>2</v>
      </c>
      <c r="H4" s="1">
        <v>2</v>
      </c>
      <c r="I4" s="1">
        <f>$C$5</f>
        <v>50</v>
      </c>
      <c r="J4" s="1" t="str">
        <f>"*(1+"&amp;$C$2&amp;"/"&amp;$C$3&amp;")^("&amp;$C$3&amp;"*"&amp;ROWS(I4:$I$5)-1&amp;")) ="</f>
        <v>*(1+0.12/1)^(1*1)) =</v>
      </c>
      <c r="K4" s="42">
        <f t="shared" ref="K4:K5" si="0">I4*(1+$C$2/$C$3)^(G4-1)</f>
        <v>56.000000000000007</v>
      </c>
    </row>
    <row r="5" spans="1:11" ht="29.4" thickBot="1" x14ac:dyDescent="0.35">
      <c r="B5" s="8" t="s">
        <v>78</v>
      </c>
      <c r="C5" s="1">
        <v>50</v>
      </c>
      <c r="G5">
        <v>1</v>
      </c>
      <c r="H5" s="1">
        <v>3</v>
      </c>
      <c r="I5" s="1">
        <f>$C$5</f>
        <v>50</v>
      </c>
      <c r="J5" s="1" t="str">
        <f>"*(1+"&amp;$C$2&amp;"/"&amp;$C$3&amp;")^("&amp;$C$3&amp;"*"&amp;ROWS(I5:$I$5)-1&amp;")) ="</f>
        <v>*(1+0.12/1)^(1*0)) =</v>
      </c>
      <c r="K5" s="42">
        <f t="shared" si="0"/>
        <v>50</v>
      </c>
    </row>
    <row r="6" spans="1:11" ht="45.75" thickBot="1" x14ac:dyDescent="0.3">
      <c r="B6" s="8" t="s">
        <v>244</v>
      </c>
      <c r="C6" s="3"/>
      <c r="H6" s="10"/>
      <c r="K6" s="32">
        <f>SUM(K3:K5)</f>
        <v>168.72000000000003</v>
      </c>
    </row>
    <row r="7" spans="1:11" ht="15" thickTop="1" x14ac:dyDescent="0.3">
      <c r="H7" s="10"/>
      <c r="K7" s="5"/>
    </row>
    <row r="8" spans="1:11" ht="28.8" x14ac:dyDescent="0.3">
      <c r="A8" s="54">
        <v>2</v>
      </c>
      <c r="B8" s="56" t="s">
        <v>308</v>
      </c>
      <c r="C8" s="42"/>
    </row>
    <row r="9" spans="1:11" ht="15" x14ac:dyDescent="0.25">
      <c r="A9" s="54">
        <v>3</v>
      </c>
      <c r="B9" s="8" t="s">
        <v>245</v>
      </c>
      <c r="C9" s="30"/>
    </row>
    <row r="11" spans="1:11" ht="43.2" x14ac:dyDescent="0.3">
      <c r="B11" s="8" t="s">
        <v>309</v>
      </c>
      <c r="C11" s="1">
        <f>((1+C2/C3)^(C3*C4)-1)/(C2/C3)</f>
        <v>3.3744000000000036</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1"/>
  <sheetViews>
    <sheetView workbookViewId="0">
      <selection activeCell="C8" sqref="C8"/>
    </sheetView>
  </sheetViews>
  <sheetFormatPr defaultRowHeight="14.4" x14ac:dyDescent="0.3"/>
  <cols>
    <col min="1" max="1" width="2" bestFit="1" customWidth="1"/>
    <col min="2" max="2" width="27.109375" style="10" customWidth="1"/>
    <col min="3" max="3" width="8.109375" customWidth="1"/>
    <col min="4" max="4" width="3" bestFit="1" customWidth="1"/>
    <col min="5" max="5" width="18.6640625" bestFit="1" customWidth="1"/>
    <col min="6" max="6" width="7" bestFit="1" customWidth="1"/>
    <col min="7" max="7" width="2" bestFit="1" customWidth="1"/>
    <col min="8" max="9" width="7.6640625" customWidth="1"/>
    <col min="10" max="10" width="18.6640625" bestFit="1" customWidth="1"/>
    <col min="11" max="11" width="7.6640625" customWidth="1"/>
    <col min="257" max="257" width="2" bestFit="1" customWidth="1"/>
    <col min="258" max="258" width="27.109375" customWidth="1"/>
    <col min="259" max="259" width="8.109375" customWidth="1"/>
    <col min="260" max="260" width="3" bestFit="1" customWidth="1"/>
    <col min="261" max="261" width="18.6640625" bestFit="1" customWidth="1"/>
    <col min="262" max="262" width="7" bestFit="1" customWidth="1"/>
    <col min="263" max="263" width="2" bestFit="1" customWidth="1"/>
    <col min="264" max="265" width="7.6640625" customWidth="1"/>
    <col min="266" max="266" width="18.6640625" bestFit="1" customWidth="1"/>
    <col min="267" max="267" width="7.6640625" customWidth="1"/>
    <col min="513" max="513" width="2" bestFit="1" customWidth="1"/>
    <col min="514" max="514" width="27.109375" customWidth="1"/>
    <col min="515" max="515" width="8.109375" customWidth="1"/>
    <col min="516" max="516" width="3" bestFit="1" customWidth="1"/>
    <col min="517" max="517" width="18.6640625" bestFit="1" customWidth="1"/>
    <col min="518" max="518" width="7" bestFit="1" customWidth="1"/>
    <col min="519" max="519" width="2" bestFit="1" customWidth="1"/>
    <col min="520" max="521" width="7.6640625" customWidth="1"/>
    <col min="522" max="522" width="18.6640625" bestFit="1" customWidth="1"/>
    <col min="523" max="523" width="7.6640625" customWidth="1"/>
    <col min="769" max="769" width="2" bestFit="1" customWidth="1"/>
    <col min="770" max="770" width="27.109375" customWidth="1"/>
    <col min="771" max="771" width="8.109375" customWidth="1"/>
    <col min="772" max="772" width="3" bestFit="1" customWidth="1"/>
    <col min="773" max="773" width="18.6640625" bestFit="1" customWidth="1"/>
    <col min="774" max="774" width="7" bestFit="1" customWidth="1"/>
    <col min="775" max="775" width="2" bestFit="1" customWidth="1"/>
    <col min="776" max="777" width="7.6640625" customWidth="1"/>
    <col min="778" max="778" width="18.6640625" bestFit="1" customWidth="1"/>
    <col min="779" max="779" width="7.6640625" customWidth="1"/>
    <col min="1025" max="1025" width="2" bestFit="1" customWidth="1"/>
    <col min="1026" max="1026" width="27.109375" customWidth="1"/>
    <col min="1027" max="1027" width="8.109375" customWidth="1"/>
    <col min="1028" max="1028" width="3" bestFit="1" customWidth="1"/>
    <col min="1029" max="1029" width="18.6640625" bestFit="1" customWidth="1"/>
    <col min="1030" max="1030" width="7" bestFit="1" customWidth="1"/>
    <col min="1031" max="1031" width="2" bestFit="1" customWidth="1"/>
    <col min="1032" max="1033" width="7.6640625" customWidth="1"/>
    <col min="1034" max="1034" width="18.6640625" bestFit="1" customWidth="1"/>
    <col min="1035" max="1035" width="7.6640625" customWidth="1"/>
    <col min="1281" max="1281" width="2" bestFit="1" customWidth="1"/>
    <col min="1282" max="1282" width="27.109375" customWidth="1"/>
    <col min="1283" max="1283" width="8.109375" customWidth="1"/>
    <col min="1284" max="1284" width="3" bestFit="1" customWidth="1"/>
    <col min="1285" max="1285" width="18.6640625" bestFit="1" customWidth="1"/>
    <col min="1286" max="1286" width="7" bestFit="1" customWidth="1"/>
    <col min="1287" max="1287" width="2" bestFit="1" customWidth="1"/>
    <col min="1288" max="1289" width="7.6640625" customWidth="1"/>
    <col min="1290" max="1290" width="18.6640625" bestFit="1" customWidth="1"/>
    <col min="1291" max="1291" width="7.6640625" customWidth="1"/>
    <col min="1537" max="1537" width="2" bestFit="1" customWidth="1"/>
    <col min="1538" max="1538" width="27.109375" customWidth="1"/>
    <col min="1539" max="1539" width="8.109375" customWidth="1"/>
    <col min="1540" max="1540" width="3" bestFit="1" customWidth="1"/>
    <col min="1541" max="1541" width="18.6640625" bestFit="1" customWidth="1"/>
    <col min="1542" max="1542" width="7" bestFit="1" customWidth="1"/>
    <col min="1543" max="1543" width="2" bestFit="1" customWidth="1"/>
    <col min="1544" max="1545" width="7.6640625" customWidth="1"/>
    <col min="1546" max="1546" width="18.6640625" bestFit="1" customWidth="1"/>
    <col min="1547" max="1547" width="7.6640625" customWidth="1"/>
    <col min="1793" max="1793" width="2" bestFit="1" customWidth="1"/>
    <col min="1794" max="1794" width="27.109375" customWidth="1"/>
    <col min="1795" max="1795" width="8.109375" customWidth="1"/>
    <col min="1796" max="1796" width="3" bestFit="1" customWidth="1"/>
    <col min="1797" max="1797" width="18.6640625" bestFit="1" customWidth="1"/>
    <col min="1798" max="1798" width="7" bestFit="1" customWidth="1"/>
    <col min="1799" max="1799" width="2" bestFit="1" customWidth="1"/>
    <col min="1800" max="1801" width="7.6640625" customWidth="1"/>
    <col min="1802" max="1802" width="18.6640625" bestFit="1" customWidth="1"/>
    <col min="1803" max="1803" width="7.6640625" customWidth="1"/>
    <col min="2049" max="2049" width="2" bestFit="1" customWidth="1"/>
    <col min="2050" max="2050" width="27.109375" customWidth="1"/>
    <col min="2051" max="2051" width="8.109375" customWidth="1"/>
    <col min="2052" max="2052" width="3" bestFit="1" customWidth="1"/>
    <col min="2053" max="2053" width="18.6640625" bestFit="1" customWidth="1"/>
    <col min="2054" max="2054" width="7" bestFit="1" customWidth="1"/>
    <col min="2055" max="2055" width="2" bestFit="1" customWidth="1"/>
    <col min="2056" max="2057" width="7.6640625" customWidth="1"/>
    <col min="2058" max="2058" width="18.6640625" bestFit="1" customWidth="1"/>
    <col min="2059" max="2059" width="7.6640625" customWidth="1"/>
    <col min="2305" max="2305" width="2" bestFit="1" customWidth="1"/>
    <col min="2306" max="2306" width="27.109375" customWidth="1"/>
    <col min="2307" max="2307" width="8.109375" customWidth="1"/>
    <col min="2308" max="2308" width="3" bestFit="1" customWidth="1"/>
    <col min="2309" max="2309" width="18.6640625" bestFit="1" customWidth="1"/>
    <col min="2310" max="2310" width="7" bestFit="1" customWidth="1"/>
    <col min="2311" max="2311" width="2" bestFit="1" customWidth="1"/>
    <col min="2312" max="2313" width="7.6640625" customWidth="1"/>
    <col min="2314" max="2314" width="18.6640625" bestFit="1" customWidth="1"/>
    <col min="2315" max="2315" width="7.6640625" customWidth="1"/>
    <col min="2561" max="2561" width="2" bestFit="1" customWidth="1"/>
    <col min="2562" max="2562" width="27.109375" customWidth="1"/>
    <col min="2563" max="2563" width="8.109375" customWidth="1"/>
    <col min="2564" max="2564" width="3" bestFit="1" customWidth="1"/>
    <col min="2565" max="2565" width="18.6640625" bestFit="1" customWidth="1"/>
    <col min="2566" max="2566" width="7" bestFit="1" customWidth="1"/>
    <col min="2567" max="2567" width="2" bestFit="1" customWidth="1"/>
    <col min="2568" max="2569" width="7.6640625" customWidth="1"/>
    <col min="2570" max="2570" width="18.6640625" bestFit="1" customWidth="1"/>
    <col min="2571" max="2571" width="7.6640625" customWidth="1"/>
    <col min="2817" max="2817" width="2" bestFit="1" customWidth="1"/>
    <col min="2818" max="2818" width="27.109375" customWidth="1"/>
    <col min="2819" max="2819" width="8.109375" customWidth="1"/>
    <col min="2820" max="2820" width="3" bestFit="1" customWidth="1"/>
    <col min="2821" max="2821" width="18.6640625" bestFit="1" customWidth="1"/>
    <col min="2822" max="2822" width="7" bestFit="1" customWidth="1"/>
    <col min="2823" max="2823" width="2" bestFit="1" customWidth="1"/>
    <col min="2824" max="2825" width="7.6640625" customWidth="1"/>
    <col min="2826" max="2826" width="18.6640625" bestFit="1" customWidth="1"/>
    <col min="2827" max="2827" width="7.6640625" customWidth="1"/>
    <col min="3073" max="3073" width="2" bestFit="1" customWidth="1"/>
    <col min="3074" max="3074" width="27.109375" customWidth="1"/>
    <col min="3075" max="3075" width="8.109375" customWidth="1"/>
    <col min="3076" max="3076" width="3" bestFit="1" customWidth="1"/>
    <col min="3077" max="3077" width="18.6640625" bestFit="1" customWidth="1"/>
    <col min="3078" max="3078" width="7" bestFit="1" customWidth="1"/>
    <col min="3079" max="3079" width="2" bestFit="1" customWidth="1"/>
    <col min="3080" max="3081" width="7.6640625" customWidth="1"/>
    <col min="3082" max="3082" width="18.6640625" bestFit="1" customWidth="1"/>
    <col min="3083" max="3083" width="7.6640625" customWidth="1"/>
    <col min="3329" max="3329" width="2" bestFit="1" customWidth="1"/>
    <col min="3330" max="3330" width="27.109375" customWidth="1"/>
    <col min="3331" max="3331" width="8.109375" customWidth="1"/>
    <col min="3332" max="3332" width="3" bestFit="1" customWidth="1"/>
    <col min="3333" max="3333" width="18.6640625" bestFit="1" customWidth="1"/>
    <col min="3334" max="3334" width="7" bestFit="1" customWidth="1"/>
    <col min="3335" max="3335" width="2" bestFit="1" customWidth="1"/>
    <col min="3336" max="3337" width="7.6640625" customWidth="1"/>
    <col min="3338" max="3338" width="18.6640625" bestFit="1" customWidth="1"/>
    <col min="3339" max="3339" width="7.6640625" customWidth="1"/>
    <col min="3585" max="3585" width="2" bestFit="1" customWidth="1"/>
    <col min="3586" max="3586" width="27.109375" customWidth="1"/>
    <col min="3587" max="3587" width="8.109375" customWidth="1"/>
    <col min="3588" max="3588" width="3" bestFit="1" customWidth="1"/>
    <col min="3589" max="3589" width="18.6640625" bestFit="1" customWidth="1"/>
    <col min="3590" max="3590" width="7" bestFit="1" customWidth="1"/>
    <col min="3591" max="3591" width="2" bestFit="1" customWidth="1"/>
    <col min="3592" max="3593" width="7.6640625" customWidth="1"/>
    <col min="3594" max="3594" width="18.6640625" bestFit="1" customWidth="1"/>
    <col min="3595" max="3595" width="7.6640625" customWidth="1"/>
    <col min="3841" max="3841" width="2" bestFit="1" customWidth="1"/>
    <col min="3842" max="3842" width="27.109375" customWidth="1"/>
    <col min="3843" max="3843" width="8.109375" customWidth="1"/>
    <col min="3844" max="3844" width="3" bestFit="1" customWidth="1"/>
    <col min="3845" max="3845" width="18.6640625" bestFit="1" customWidth="1"/>
    <col min="3846" max="3846" width="7" bestFit="1" customWidth="1"/>
    <col min="3847" max="3847" width="2" bestFit="1" customWidth="1"/>
    <col min="3848" max="3849" width="7.6640625" customWidth="1"/>
    <col min="3850" max="3850" width="18.6640625" bestFit="1" customWidth="1"/>
    <col min="3851" max="3851" width="7.6640625" customWidth="1"/>
    <col min="4097" max="4097" width="2" bestFit="1" customWidth="1"/>
    <col min="4098" max="4098" width="27.109375" customWidth="1"/>
    <col min="4099" max="4099" width="8.109375" customWidth="1"/>
    <col min="4100" max="4100" width="3" bestFit="1" customWidth="1"/>
    <col min="4101" max="4101" width="18.6640625" bestFit="1" customWidth="1"/>
    <col min="4102" max="4102" width="7" bestFit="1" customWidth="1"/>
    <col min="4103" max="4103" width="2" bestFit="1" customWidth="1"/>
    <col min="4104" max="4105" width="7.6640625" customWidth="1"/>
    <col min="4106" max="4106" width="18.6640625" bestFit="1" customWidth="1"/>
    <col min="4107" max="4107" width="7.6640625" customWidth="1"/>
    <col min="4353" max="4353" width="2" bestFit="1" customWidth="1"/>
    <col min="4354" max="4354" width="27.109375" customWidth="1"/>
    <col min="4355" max="4355" width="8.109375" customWidth="1"/>
    <col min="4356" max="4356" width="3" bestFit="1" customWidth="1"/>
    <col min="4357" max="4357" width="18.6640625" bestFit="1" customWidth="1"/>
    <col min="4358" max="4358" width="7" bestFit="1" customWidth="1"/>
    <col min="4359" max="4359" width="2" bestFit="1" customWidth="1"/>
    <col min="4360" max="4361" width="7.6640625" customWidth="1"/>
    <col min="4362" max="4362" width="18.6640625" bestFit="1" customWidth="1"/>
    <col min="4363" max="4363" width="7.6640625" customWidth="1"/>
    <col min="4609" max="4609" width="2" bestFit="1" customWidth="1"/>
    <col min="4610" max="4610" width="27.109375" customWidth="1"/>
    <col min="4611" max="4611" width="8.109375" customWidth="1"/>
    <col min="4612" max="4612" width="3" bestFit="1" customWidth="1"/>
    <col min="4613" max="4613" width="18.6640625" bestFit="1" customWidth="1"/>
    <col min="4614" max="4614" width="7" bestFit="1" customWidth="1"/>
    <col min="4615" max="4615" width="2" bestFit="1" customWidth="1"/>
    <col min="4616" max="4617" width="7.6640625" customWidth="1"/>
    <col min="4618" max="4618" width="18.6640625" bestFit="1" customWidth="1"/>
    <col min="4619" max="4619" width="7.6640625" customWidth="1"/>
    <col min="4865" max="4865" width="2" bestFit="1" customWidth="1"/>
    <col min="4866" max="4866" width="27.109375" customWidth="1"/>
    <col min="4867" max="4867" width="8.109375" customWidth="1"/>
    <col min="4868" max="4868" width="3" bestFit="1" customWidth="1"/>
    <col min="4869" max="4869" width="18.6640625" bestFit="1" customWidth="1"/>
    <col min="4870" max="4870" width="7" bestFit="1" customWidth="1"/>
    <col min="4871" max="4871" width="2" bestFit="1" customWidth="1"/>
    <col min="4872" max="4873" width="7.6640625" customWidth="1"/>
    <col min="4874" max="4874" width="18.6640625" bestFit="1" customWidth="1"/>
    <col min="4875" max="4875" width="7.6640625" customWidth="1"/>
    <col min="5121" max="5121" width="2" bestFit="1" customWidth="1"/>
    <col min="5122" max="5122" width="27.109375" customWidth="1"/>
    <col min="5123" max="5123" width="8.109375" customWidth="1"/>
    <col min="5124" max="5124" width="3" bestFit="1" customWidth="1"/>
    <col min="5125" max="5125" width="18.6640625" bestFit="1" customWidth="1"/>
    <col min="5126" max="5126" width="7" bestFit="1" customWidth="1"/>
    <col min="5127" max="5127" width="2" bestFit="1" customWidth="1"/>
    <col min="5128" max="5129" width="7.6640625" customWidth="1"/>
    <col min="5130" max="5130" width="18.6640625" bestFit="1" customWidth="1"/>
    <col min="5131" max="5131" width="7.6640625" customWidth="1"/>
    <col min="5377" max="5377" width="2" bestFit="1" customWidth="1"/>
    <col min="5378" max="5378" width="27.109375" customWidth="1"/>
    <col min="5379" max="5379" width="8.109375" customWidth="1"/>
    <col min="5380" max="5380" width="3" bestFit="1" customWidth="1"/>
    <col min="5381" max="5381" width="18.6640625" bestFit="1" customWidth="1"/>
    <col min="5382" max="5382" width="7" bestFit="1" customWidth="1"/>
    <col min="5383" max="5383" width="2" bestFit="1" customWidth="1"/>
    <col min="5384" max="5385" width="7.6640625" customWidth="1"/>
    <col min="5386" max="5386" width="18.6640625" bestFit="1" customWidth="1"/>
    <col min="5387" max="5387" width="7.6640625" customWidth="1"/>
    <col min="5633" max="5633" width="2" bestFit="1" customWidth="1"/>
    <col min="5634" max="5634" width="27.109375" customWidth="1"/>
    <col min="5635" max="5635" width="8.109375" customWidth="1"/>
    <col min="5636" max="5636" width="3" bestFit="1" customWidth="1"/>
    <col min="5637" max="5637" width="18.6640625" bestFit="1" customWidth="1"/>
    <col min="5638" max="5638" width="7" bestFit="1" customWidth="1"/>
    <col min="5639" max="5639" width="2" bestFit="1" customWidth="1"/>
    <col min="5640" max="5641" width="7.6640625" customWidth="1"/>
    <col min="5642" max="5642" width="18.6640625" bestFit="1" customWidth="1"/>
    <col min="5643" max="5643" width="7.6640625" customWidth="1"/>
    <col min="5889" max="5889" width="2" bestFit="1" customWidth="1"/>
    <col min="5890" max="5890" width="27.109375" customWidth="1"/>
    <col min="5891" max="5891" width="8.109375" customWidth="1"/>
    <col min="5892" max="5892" width="3" bestFit="1" customWidth="1"/>
    <col min="5893" max="5893" width="18.6640625" bestFit="1" customWidth="1"/>
    <col min="5894" max="5894" width="7" bestFit="1" customWidth="1"/>
    <col min="5895" max="5895" width="2" bestFit="1" customWidth="1"/>
    <col min="5896" max="5897" width="7.6640625" customWidth="1"/>
    <col min="5898" max="5898" width="18.6640625" bestFit="1" customWidth="1"/>
    <col min="5899" max="5899" width="7.6640625" customWidth="1"/>
    <col min="6145" max="6145" width="2" bestFit="1" customWidth="1"/>
    <col min="6146" max="6146" width="27.109375" customWidth="1"/>
    <col min="6147" max="6147" width="8.109375" customWidth="1"/>
    <col min="6148" max="6148" width="3" bestFit="1" customWidth="1"/>
    <col min="6149" max="6149" width="18.6640625" bestFit="1" customWidth="1"/>
    <col min="6150" max="6150" width="7" bestFit="1" customWidth="1"/>
    <col min="6151" max="6151" width="2" bestFit="1" customWidth="1"/>
    <col min="6152" max="6153" width="7.6640625" customWidth="1"/>
    <col min="6154" max="6154" width="18.6640625" bestFit="1" customWidth="1"/>
    <col min="6155" max="6155" width="7.6640625" customWidth="1"/>
    <col min="6401" max="6401" width="2" bestFit="1" customWidth="1"/>
    <col min="6402" max="6402" width="27.109375" customWidth="1"/>
    <col min="6403" max="6403" width="8.109375" customWidth="1"/>
    <col min="6404" max="6404" width="3" bestFit="1" customWidth="1"/>
    <col min="6405" max="6405" width="18.6640625" bestFit="1" customWidth="1"/>
    <col min="6406" max="6406" width="7" bestFit="1" customWidth="1"/>
    <col min="6407" max="6407" width="2" bestFit="1" customWidth="1"/>
    <col min="6408" max="6409" width="7.6640625" customWidth="1"/>
    <col min="6410" max="6410" width="18.6640625" bestFit="1" customWidth="1"/>
    <col min="6411" max="6411" width="7.6640625" customWidth="1"/>
    <col min="6657" max="6657" width="2" bestFit="1" customWidth="1"/>
    <col min="6658" max="6658" width="27.109375" customWidth="1"/>
    <col min="6659" max="6659" width="8.109375" customWidth="1"/>
    <col min="6660" max="6660" width="3" bestFit="1" customWidth="1"/>
    <col min="6661" max="6661" width="18.6640625" bestFit="1" customWidth="1"/>
    <col min="6662" max="6662" width="7" bestFit="1" customWidth="1"/>
    <col min="6663" max="6663" width="2" bestFit="1" customWidth="1"/>
    <col min="6664" max="6665" width="7.6640625" customWidth="1"/>
    <col min="6666" max="6666" width="18.6640625" bestFit="1" customWidth="1"/>
    <col min="6667" max="6667" width="7.6640625" customWidth="1"/>
    <col min="6913" max="6913" width="2" bestFit="1" customWidth="1"/>
    <col min="6914" max="6914" width="27.109375" customWidth="1"/>
    <col min="6915" max="6915" width="8.109375" customWidth="1"/>
    <col min="6916" max="6916" width="3" bestFit="1" customWidth="1"/>
    <col min="6917" max="6917" width="18.6640625" bestFit="1" customWidth="1"/>
    <col min="6918" max="6918" width="7" bestFit="1" customWidth="1"/>
    <col min="6919" max="6919" width="2" bestFit="1" customWidth="1"/>
    <col min="6920" max="6921" width="7.6640625" customWidth="1"/>
    <col min="6922" max="6922" width="18.6640625" bestFit="1" customWidth="1"/>
    <col min="6923" max="6923" width="7.6640625" customWidth="1"/>
    <col min="7169" max="7169" width="2" bestFit="1" customWidth="1"/>
    <col min="7170" max="7170" width="27.109375" customWidth="1"/>
    <col min="7171" max="7171" width="8.109375" customWidth="1"/>
    <col min="7172" max="7172" width="3" bestFit="1" customWidth="1"/>
    <col min="7173" max="7173" width="18.6640625" bestFit="1" customWidth="1"/>
    <col min="7174" max="7174" width="7" bestFit="1" customWidth="1"/>
    <col min="7175" max="7175" width="2" bestFit="1" customWidth="1"/>
    <col min="7176" max="7177" width="7.6640625" customWidth="1"/>
    <col min="7178" max="7178" width="18.6640625" bestFit="1" customWidth="1"/>
    <col min="7179" max="7179" width="7.6640625" customWidth="1"/>
    <col min="7425" max="7425" width="2" bestFit="1" customWidth="1"/>
    <col min="7426" max="7426" width="27.109375" customWidth="1"/>
    <col min="7427" max="7427" width="8.109375" customWidth="1"/>
    <col min="7428" max="7428" width="3" bestFit="1" customWidth="1"/>
    <col min="7429" max="7429" width="18.6640625" bestFit="1" customWidth="1"/>
    <col min="7430" max="7430" width="7" bestFit="1" customWidth="1"/>
    <col min="7431" max="7431" width="2" bestFit="1" customWidth="1"/>
    <col min="7432" max="7433" width="7.6640625" customWidth="1"/>
    <col min="7434" max="7434" width="18.6640625" bestFit="1" customWidth="1"/>
    <col min="7435" max="7435" width="7.6640625" customWidth="1"/>
    <col min="7681" max="7681" width="2" bestFit="1" customWidth="1"/>
    <col min="7682" max="7682" width="27.109375" customWidth="1"/>
    <col min="7683" max="7683" width="8.109375" customWidth="1"/>
    <col min="7684" max="7684" width="3" bestFit="1" customWidth="1"/>
    <col min="7685" max="7685" width="18.6640625" bestFit="1" customWidth="1"/>
    <col min="7686" max="7686" width="7" bestFit="1" customWidth="1"/>
    <col min="7687" max="7687" width="2" bestFit="1" customWidth="1"/>
    <col min="7688" max="7689" width="7.6640625" customWidth="1"/>
    <col min="7690" max="7690" width="18.6640625" bestFit="1" customWidth="1"/>
    <col min="7691" max="7691" width="7.6640625" customWidth="1"/>
    <col min="7937" max="7937" width="2" bestFit="1" customWidth="1"/>
    <col min="7938" max="7938" width="27.109375" customWidth="1"/>
    <col min="7939" max="7939" width="8.109375" customWidth="1"/>
    <col min="7940" max="7940" width="3" bestFit="1" customWidth="1"/>
    <col min="7941" max="7941" width="18.6640625" bestFit="1" customWidth="1"/>
    <col min="7942" max="7942" width="7" bestFit="1" customWidth="1"/>
    <col min="7943" max="7943" width="2" bestFit="1" customWidth="1"/>
    <col min="7944" max="7945" width="7.6640625" customWidth="1"/>
    <col min="7946" max="7946" width="18.6640625" bestFit="1" customWidth="1"/>
    <col min="7947" max="7947" width="7.6640625" customWidth="1"/>
    <col min="8193" max="8193" width="2" bestFit="1" customWidth="1"/>
    <col min="8194" max="8194" width="27.109375" customWidth="1"/>
    <col min="8195" max="8195" width="8.109375" customWidth="1"/>
    <col min="8196" max="8196" width="3" bestFit="1" customWidth="1"/>
    <col min="8197" max="8197" width="18.6640625" bestFit="1" customWidth="1"/>
    <col min="8198" max="8198" width="7" bestFit="1" customWidth="1"/>
    <col min="8199" max="8199" width="2" bestFit="1" customWidth="1"/>
    <col min="8200" max="8201" width="7.6640625" customWidth="1"/>
    <col min="8202" max="8202" width="18.6640625" bestFit="1" customWidth="1"/>
    <col min="8203" max="8203" width="7.6640625" customWidth="1"/>
    <col min="8449" max="8449" width="2" bestFit="1" customWidth="1"/>
    <col min="8450" max="8450" width="27.109375" customWidth="1"/>
    <col min="8451" max="8451" width="8.109375" customWidth="1"/>
    <col min="8452" max="8452" width="3" bestFit="1" customWidth="1"/>
    <col min="8453" max="8453" width="18.6640625" bestFit="1" customWidth="1"/>
    <col min="8454" max="8454" width="7" bestFit="1" customWidth="1"/>
    <col min="8455" max="8455" width="2" bestFit="1" customWidth="1"/>
    <col min="8456" max="8457" width="7.6640625" customWidth="1"/>
    <col min="8458" max="8458" width="18.6640625" bestFit="1" customWidth="1"/>
    <col min="8459" max="8459" width="7.6640625" customWidth="1"/>
    <col min="8705" max="8705" width="2" bestFit="1" customWidth="1"/>
    <col min="8706" max="8706" width="27.109375" customWidth="1"/>
    <col min="8707" max="8707" width="8.109375" customWidth="1"/>
    <col min="8708" max="8708" width="3" bestFit="1" customWidth="1"/>
    <col min="8709" max="8709" width="18.6640625" bestFit="1" customWidth="1"/>
    <col min="8710" max="8710" width="7" bestFit="1" customWidth="1"/>
    <col min="8711" max="8711" width="2" bestFit="1" customWidth="1"/>
    <col min="8712" max="8713" width="7.6640625" customWidth="1"/>
    <col min="8714" max="8714" width="18.6640625" bestFit="1" customWidth="1"/>
    <col min="8715" max="8715" width="7.6640625" customWidth="1"/>
    <col min="8961" max="8961" width="2" bestFit="1" customWidth="1"/>
    <col min="8962" max="8962" width="27.109375" customWidth="1"/>
    <col min="8963" max="8963" width="8.109375" customWidth="1"/>
    <col min="8964" max="8964" width="3" bestFit="1" customWidth="1"/>
    <col min="8965" max="8965" width="18.6640625" bestFit="1" customWidth="1"/>
    <col min="8966" max="8966" width="7" bestFit="1" customWidth="1"/>
    <col min="8967" max="8967" width="2" bestFit="1" customWidth="1"/>
    <col min="8968" max="8969" width="7.6640625" customWidth="1"/>
    <col min="8970" max="8970" width="18.6640625" bestFit="1" customWidth="1"/>
    <col min="8971" max="8971" width="7.6640625" customWidth="1"/>
    <col min="9217" max="9217" width="2" bestFit="1" customWidth="1"/>
    <col min="9218" max="9218" width="27.109375" customWidth="1"/>
    <col min="9219" max="9219" width="8.109375" customWidth="1"/>
    <col min="9220" max="9220" width="3" bestFit="1" customWidth="1"/>
    <col min="9221" max="9221" width="18.6640625" bestFit="1" customWidth="1"/>
    <col min="9222" max="9222" width="7" bestFit="1" customWidth="1"/>
    <col min="9223" max="9223" width="2" bestFit="1" customWidth="1"/>
    <col min="9224" max="9225" width="7.6640625" customWidth="1"/>
    <col min="9226" max="9226" width="18.6640625" bestFit="1" customWidth="1"/>
    <col min="9227" max="9227" width="7.6640625" customWidth="1"/>
    <col min="9473" max="9473" width="2" bestFit="1" customWidth="1"/>
    <col min="9474" max="9474" width="27.109375" customWidth="1"/>
    <col min="9475" max="9475" width="8.109375" customWidth="1"/>
    <col min="9476" max="9476" width="3" bestFit="1" customWidth="1"/>
    <col min="9477" max="9477" width="18.6640625" bestFit="1" customWidth="1"/>
    <col min="9478" max="9478" width="7" bestFit="1" customWidth="1"/>
    <col min="9479" max="9479" width="2" bestFit="1" customWidth="1"/>
    <col min="9480" max="9481" width="7.6640625" customWidth="1"/>
    <col min="9482" max="9482" width="18.6640625" bestFit="1" customWidth="1"/>
    <col min="9483" max="9483" width="7.6640625" customWidth="1"/>
    <col min="9729" max="9729" width="2" bestFit="1" customWidth="1"/>
    <col min="9730" max="9730" width="27.109375" customWidth="1"/>
    <col min="9731" max="9731" width="8.109375" customWidth="1"/>
    <col min="9732" max="9732" width="3" bestFit="1" customWidth="1"/>
    <col min="9733" max="9733" width="18.6640625" bestFit="1" customWidth="1"/>
    <col min="9734" max="9734" width="7" bestFit="1" customWidth="1"/>
    <col min="9735" max="9735" width="2" bestFit="1" customWidth="1"/>
    <col min="9736" max="9737" width="7.6640625" customWidth="1"/>
    <col min="9738" max="9738" width="18.6640625" bestFit="1" customWidth="1"/>
    <col min="9739" max="9739" width="7.6640625" customWidth="1"/>
    <col min="9985" max="9985" width="2" bestFit="1" customWidth="1"/>
    <col min="9986" max="9986" width="27.109375" customWidth="1"/>
    <col min="9987" max="9987" width="8.109375" customWidth="1"/>
    <col min="9988" max="9988" width="3" bestFit="1" customWidth="1"/>
    <col min="9989" max="9989" width="18.6640625" bestFit="1" customWidth="1"/>
    <col min="9990" max="9990" width="7" bestFit="1" customWidth="1"/>
    <col min="9991" max="9991" width="2" bestFit="1" customWidth="1"/>
    <col min="9992" max="9993" width="7.6640625" customWidth="1"/>
    <col min="9994" max="9994" width="18.6640625" bestFit="1" customWidth="1"/>
    <col min="9995" max="9995" width="7.6640625" customWidth="1"/>
    <col min="10241" max="10241" width="2" bestFit="1" customWidth="1"/>
    <col min="10242" max="10242" width="27.109375" customWidth="1"/>
    <col min="10243" max="10243" width="8.109375" customWidth="1"/>
    <col min="10244" max="10244" width="3" bestFit="1" customWidth="1"/>
    <col min="10245" max="10245" width="18.6640625" bestFit="1" customWidth="1"/>
    <col min="10246" max="10246" width="7" bestFit="1" customWidth="1"/>
    <col min="10247" max="10247" width="2" bestFit="1" customWidth="1"/>
    <col min="10248" max="10249" width="7.6640625" customWidth="1"/>
    <col min="10250" max="10250" width="18.6640625" bestFit="1" customWidth="1"/>
    <col min="10251" max="10251" width="7.6640625" customWidth="1"/>
    <col min="10497" max="10497" width="2" bestFit="1" customWidth="1"/>
    <col min="10498" max="10498" width="27.109375" customWidth="1"/>
    <col min="10499" max="10499" width="8.109375" customWidth="1"/>
    <col min="10500" max="10500" width="3" bestFit="1" customWidth="1"/>
    <col min="10501" max="10501" width="18.6640625" bestFit="1" customWidth="1"/>
    <col min="10502" max="10502" width="7" bestFit="1" customWidth="1"/>
    <col min="10503" max="10503" width="2" bestFit="1" customWidth="1"/>
    <col min="10504" max="10505" width="7.6640625" customWidth="1"/>
    <col min="10506" max="10506" width="18.6640625" bestFit="1" customWidth="1"/>
    <col min="10507" max="10507" width="7.6640625" customWidth="1"/>
    <col min="10753" max="10753" width="2" bestFit="1" customWidth="1"/>
    <col min="10754" max="10754" width="27.109375" customWidth="1"/>
    <col min="10755" max="10755" width="8.109375" customWidth="1"/>
    <col min="10756" max="10756" width="3" bestFit="1" customWidth="1"/>
    <col min="10757" max="10757" width="18.6640625" bestFit="1" customWidth="1"/>
    <col min="10758" max="10758" width="7" bestFit="1" customWidth="1"/>
    <col min="10759" max="10759" width="2" bestFit="1" customWidth="1"/>
    <col min="10760" max="10761" width="7.6640625" customWidth="1"/>
    <col min="10762" max="10762" width="18.6640625" bestFit="1" customWidth="1"/>
    <col min="10763" max="10763" width="7.6640625" customWidth="1"/>
    <col min="11009" max="11009" width="2" bestFit="1" customWidth="1"/>
    <col min="11010" max="11010" width="27.109375" customWidth="1"/>
    <col min="11011" max="11011" width="8.109375" customWidth="1"/>
    <col min="11012" max="11012" width="3" bestFit="1" customWidth="1"/>
    <col min="11013" max="11013" width="18.6640625" bestFit="1" customWidth="1"/>
    <col min="11014" max="11014" width="7" bestFit="1" customWidth="1"/>
    <col min="11015" max="11015" width="2" bestFit="1" customWidth="1"/>
    <col min="11016" max="11017" width="7.6640625" customWidth="1"/>
    <col min="11018" max="11018" width="18.6640625" bestFit="1" customWidth="1"/>
    <col min="11019" max="11019" width="7.6640625" customWidth="1"/>
    <col min="11265" max="11265" width="2" bestFit="1" customWidth="1"/>
    <col min="11266" max="11266" width="27.109375" customWidth="1"/>
    <col min="11267" max="11267" width="8.109375" customWidth="1"/>
    <col min="11268" max="11268" width="3" bestFit="1" customWidth="1"/>
    <col min="11269" max="11269" width="18.6640625" bestFit="1" customWidth="1"/>
    <col min="11270" max="11270" width="7" bestFit="1" customWidth="1"/>
    <col min="11271" max="11271" width="2" bestFit="1" customWidth="1"/>
    <col min="11272" max="11273" width="7.6640625" customWidth="1"/>
    <col min="11274" max="11274" width="18.6640625" bestFit="1" customWidth="1"/>
    <col min="11275" max="11275" width="7.6640625" customWidth="1"/>
    <col min="11521" max="11521" width="2" bestFit="1" customWidth="1"/>
    <col min="11522" max="11522" width="27.109375" customWidth="1"/>
    <col min="11523" max="11523" width="8.109375" customWidth="1"/>
    <col min="11524" max="11524" width="3" bestFit="1" customWidth="1"/>
    <col min="11525" max="11525" width="18.6640625" bestFit="1" customWidth="1"/>
    <col min="11526" max="11526" width="7" bestFit="1" customWidth="1"/>
    <col min="11527" max="11527" width="2" bestFit="1" customWidth="1"/>
    <col min="11528" max="11529" width="7.6640625" customWidth="1"/>
    <col min="11530" max="11530" width="18.6640625" bestFit="1" customWidth="1"/>
    <col min="11531" max="11531" width="7.6640625" customWidth="1"/>
    <col min="11777" max="11777" width="2" bestFit="1" customWidth="1"/>
    <col min="11778" max="11778" width="27.109375" customWidth="1"/>
    <col min="11779" max="11779" width="8.109375" customWidth="1"/>
    <col min="11780" max="11780" width="3" bestFit="1" customWidth="1"/>
    <col min="11781" max="11781" width="18.6640625" bestFit="1" customWidth="1"/>
    <col min="11782" max="11782" width="7" bestFit="1" customWidth="1"/>
    <col min="11783" max="11783" width="2" bestFit="1" customWidth="1"/>
    <col min="11784" max="11785" width="7.6640625" customWidth="1"/>
    <col min="11786" max="11786" width="18.6640625" bestFit="1" customWidth="1"/>
    <col min="11787" max="11787" width="7.6640625" customWidth="1"/>
    <col min="12033" max="12033" width="2" bestFit="1" customWidth="1"/>
    <col min="12034" max="12034" width="27.109375" customWidth="1"/>
    <col min="12035" max="12035" width="8.109375" customWidth="1"/>
    <col min="12036" max="12036" width="3" bestFit="1" customWidth="1"/>
    <col min="12037" max="12037" width="18.6640625" bestFit="1" customWidth="1"/>
    <col min="12038" max="12038" width="7" bestFit="1" customWidth="1"/>
    <col min="12039" max="12039" width="2" bestFit="1" customWidth="1"/>
    <col min="12040" max="12041" width="7.6640625" customWidth="1"/>
    <col min="12042" max="12042" width="18.6640625" bestFit="1" customWidth="1"/>
    <col min="12043" max="12043" width="7.6640625" customWidth="1"/>
    <col min="12289" max="12289" width="2" bestFit="1" customWidth="1"/>
    <col min="12290" max="12290" width="27.109375" customWidth="1"/>
    <col min="12291" max="12291" width="8.109375" customWidth="1"/>
    <col min="12292" max="12292" width="3" bestFit="1" customWidth="1"/>
    <col min="12293" max="12293" width="18.6640625" bestFit="1" customWidth="1"/>
    <col min="12294" max="12294" width="7" bestFit="1" customWidth="1"/>
    <col min="12295" max="12295" width="2" bestFit="1" customWidth="1"/>
    <col min="12296" max="12297" width="7.6640625" customWidth="1"/>
    <col min="12298" max="12298" width="18.6640625" bestFit="1" customWidth="1"/>
    <col min="12299" max="12299" width="7.6640625" customWidth="1"/>
    <col min="12545" max="12545" width="2" bestFit="1" customWidth="1"/>
    <col min="12546" max="12546" width="27.109375" customWidth="1"/>
    <col min="12547" max="12547" width="8.109375" customWidth="1"/>
    <col min="12548" max="12548" width="3" bestFit="1" customWidth="1"/>
    <col min="12549" max="12549" width="18.6640625" bestFit="1" customWidth="1"/>
    <col min="12550" max="12550" width="7" bestFit="1" customWidth="1"/>
    <col min="12551" max="12551" width="2" bestFit="1" customWidth="1"/>
    <col min="12552" max="12553" width="7.6640625" customWidth="1"/>
    <col min="12554" max="12554" width="18.6640625" bestFit="1" customWidth="1"/>
    <col min="12555" max="12555" width="7.6640625" customWidth="1"/>
    <col min="12801" max="12801" width="2" bestFit="1" customWidth="1"/>
    <col min="12802" max="12802" width="27.109375" customWidth="1"/>
    <col min="12803" max="12803" width="8.109375" customWidth="1"/>
    <col min="12804" max="12804" width="3" bestFit="1" customWidth="1"/>
    <col min="12805" max="12805" width="18.6640625" bestFit="1" customWidth="1"/>
    <col min="12806" max="12806" width="7" bestFit="1" customWidth="1"/>
    <col min="12807" max="12807" width="2" bestFit="1" customWidth="1"/>
    <col min="12808" max="12809" width="7.6640625" customWidth="1"/>
    <col min="12810" max="12810" width="18.6640625" bestFit="1" customWidth="1"/>
    <col min="12811" max="12811" width="7.6640625" customWidth="1"/>
    <col min="13057" max="13057" width="2" bestFit="1" customWidth="1"/>
    <col min="13058" max="13058" width="27.109375" customWidth="1"/>
    <col min="13059" max="13059" width="8.109375" customWidth="1"/>
    <col min="13060" max="13060" width="3" bestFit="1" customWidth="1"/>
    <col min="13061" max="13061" width="18.6640625" bestFit="1" customWidth="1"/>
    <col min="13062" max="13062" width="7" bestFit="1" customWidth="1"/>
    <col min="13063" max="13063" width="2" bestFit="1" customWidth="1"/>
    <col min="13064" max="13065" width="7.6640625" customWidth="1"/>
    <col min="13066" max="13066" width="18.6640625" bestFit="1" customWidth="1"/>
    <col min="13067" max="13067" width="7.6640625" customWidth="1"/>
    <col min="13313" max="13313" width="2" bestFit="1" customWidth="1"/>
    <col min="13314" max="13314" width="27.109375" customWidth="1"/>
    <col min="13315" max="13315" width="8.109375" customWidth="1"/>
    <col min="13316" max="13316" width="3" bestFit="1" customWidth="1"/>
    <col min="13317" max="13317" width="18.6640625" bestFit="1" customWidth="1"/>
    <col min="13318" max="13318" width="7" bestFit="1" customWidth="1"/>
    <col min="13319" max="13319" width="2" bestFit="1" customWidth="1"/>
    <col min="13320" max="13321" width="7.6640625" customWidth="1"/>
    <col min="13322" max="13322" width="18.6640625" bestFit="1" customWidth="1"/>
    <col min="13323" max="13323" width="7.6640625" customWidth="1"/>
    <col min="13569" max="13569" width="2" bestFit="1" customWidth="1"/>
    <col min="13570" max="13570" width="27.109375" customWidth="1"/>
    <col min="13571" max="13571" width="8.109375" customWidth="1"/>
    <col min="13572" max="13572" width="3" bestFit="1" customWidth="1"/>
    <col min="13573" max="13573" width="18.6640625" bestFit="1" customWidth="1"/>
    <col min="13574" max="13574" width="7" bestFit="1" customWidth="1"/>
    <col min="13575" max="13575" width="2" bestFit="1" customWidth="1"/>
    <col min="13576" max="13577" width="7.6640625" customWidth="1"/>
    <col min="13578" max="13578" width="18.6640625" bestFit="1" customWidth="1"/>
    <col min="13579" max="13579" width="7.6640625" customWidth="1"/>
    <col min="13825" max="13825" width="2" bestFit="1" customWidth="1"/>
    <col min="13826" max="13826" width="27.109375" customWidth="1"/>
    <col min="13827" max="13827" width="8.109375" customWidth="1"/>
    <col min="13828" max="13828" width="3" bestFit="1" customWidth="1"/>
    <col min="13829" max="13829" width="18.6640625" bestFit="1" customWidth="1"/>
    <col min="13830" max="13830" width="7" bestFit="1" customWidth="1"/>
    <col min="13831" max="13831" width="2" bestFit="1" customWidth="1"/>
    <col min="13832" max="13833" width="7.6640625" customWidth="1"/>
    <col min="13834" max="13834" width="18.6640625" bestFit="1" customWidth="1"/>
    <col min="13835" max="13835" width="7.6640625" customWidth="1"/>
    <col min="14081" max="14081" width="2" bestFit="1" customWidth="1"/>
    <col min="14082" max="14082" width="27.109375" customWidth="1"/>
    <col min="14083" max="14083" width="8.109375" customWidth="1"/>
    <col min="14084" max="14084" width="3" bestFit="1" customWidth="1"/>
    <col min="14085" max="14085" width="18.6640625" bestFit="1" customWidth="1"/>
    <col min="14086" max="14086" width="7" bestFit="1" customWidth="1"/>
    <col min="14087" max="14087" width="2" bestFit="1" customWidth="1"/>
    <col min="14088" max="14089" width="7.6640625" customWidth="1"/>
    <col min="14090" max="14090" width="18.6640625" bestFit="1" customWidth="1"/>
    <col min="14091" max="14091" width="7.6640625" customWidth="1"/>
    <col min="14337" max="14337" width="2" bestFit="1" customWidth="1"/>
    <col min="14338" max="14338" width="27.109375" customWidth="1"/>
    <col min="14339" max="14339" width="8.109375" customWidth="1"/>
    <col min="14340" max="14340" width="3" bestFit="1" customWidth="1"/>
    <col min="14341" max="14341" width="18.6640625" bestFit="1" customWidth="1"/>
    <col min="14342" max="14342" width="7" bestFit="1" customWidth="1"/>
    <col min="14343" max="14343" width="2" bestFit="1" customWidth="1"/>
    <col min="14344" max="14345" width="7.6640625" customWidth="1"/>
    <col min="14346" max="14346" width="18.6640625" bestFit="1" customWidth="1"/>
    <col min="14347" max="14347" width="7.6640625" customWidth="1"/>
    <col min="14593" max="14593" width="2" bestFit="1" customWidth="1"/>
    <col min="14594" max="14594" width="27.109375" customWidth="1"/>
    <col min="14595" max="14595" width="8.109375" customWidth="1"/>
    <col min="14596" max="14596" width="3" bestFit="1" customWidth="1"/>
    <col min="14597" max="14597" width="18.6640625" bestFit="1" customWidth="1"/>
    <col min="14598" max="14598" width="7" bestFit="1" customWidth="1"/>
    <col min="14599" max="14599" width="2" bestFit="1" customWidth="1"/>
    <col min="14600" max="14601" width="7.6640625" customWidth="1"/>
    <col min="14602" max="14602" width="18.6640625" bestFit="1" customWidth="1"/>
    <col min="14603" max="14603" width="7.6640625" customWidth="1"/>
    <col min="14849" max="14849" width="2" bestFit="1" customWidth="1"/>
    <col min="14850" max="14850" width="27.109375" customWidth="1"/>
    <col min="14851" max="14851" width="8.109375" customWidth="1"/>
    <col min="14852" max="14852" width="3" bestFit="1" customWidth="1"/>
    <col min="14853" max="14853" width="18.6640625" bestFit="1" customWidth="1"/>
    <col min="14854" max="14854" width="7" bestFit="1" customWidth="1"/>
    <col min="14855" max="14855" width="2" bestFit="1" customWidth="1"/>
    <col min="14856" max="14857" width="7.6640625" customWidth="1"/>
    <col min="14858" max="14858" width="18.6640625" bestFit="1" customWidth="1"/>
    <col min="14859" max="14859" width="7.6640625" customWidth="1"/>
    <col min="15105" max="15105" width="2" bestFit="1" customWidth="1"/>
    <col min="15106" max="15106" width="27.109375" customWidth="1"/>
    <col min="15107" max="15107" width="8.109375" customWidth="1"/>
    <col min="15108" max="15108" width="3" bestFit="1" customWidth="1"/>
    <col min="15109" max="15109" width="18.6640625" bestFit="1" customWidth="1"/>
    <col min="15110" max="15110" width="7" bestFit="1" customWidth="1"/>
    <col min="15111" max="15111" width="2" bestFit="1" customWidth="1"/>
    <col min="15112" max="15113" width="7.6640625" customWidth="1"/>
    <col min="15114" max="15114" width="18.6640625" bestFit="1" customWidth="1"/>
    <col min="15115" max="15115" width="7.6640625" customWidth="1"/>
    <col min="15361" max="15361" width="2" bestFit="1" customWidth="1"/>
    <col min="15362" max="15362" width="27.109375" customWidth="1"/>
    <col min="15363" max="15363" width="8.109375" customWidth="1"/>
    <col min="15364" max="15364" width="3" bestFit="1" customWidth="1"/>
    <col min="15365" max="15365" width="18.6640625" bestFit="1" customWidth="1"/>
    <col min="15366" max="15366" width="7" bestFit="1" customWidth="1"/>
    <col min="15367" max="15367" width="2" bestFit="1" customWidth="1"/>
    <col min="15368" max="15369" width="7.6640625" customWidth="1"/>
    <col min="15370" max="15370" width="18.6640625" bestFit="1" customWidth="1"/>
    <col min="15371" max="15371" width="7.6640625" customWidth="1"/>
    <col min="15617" max="15617" width="2" bestFit="1" customWidth="1"/>
    <col min="15618" max="15618" width="27.109375" customWidth="1"/>
    <col min="15619" max="15619" width="8.109375" customWidth="1"/>
    <col min="15620" max="15620" width="3" bestFit="1" customWidth="1"/>
    <col min="15621" max="15621" width="18.6640625" bestFit="1" customWidth="1"/>
    <col min="15622" max="15622" width="7" bestFit="1" customWidth="1"/>
    <col min="15623" max="15623" width="2" bestFit="1" customWidth="1"/>
    <col min="15624" max="15625" width="7.6640625" customWidth="1"/>
    <col min="15626" max="15626" width="18.6640625" bestFit="1" customWidth="1"/>
    <col min="15627" max="15627" width="7.6640625" customWidth="1"/>
    <col min="15873" max="15873" width="2" bestFit="1" customWidth="1"/>
    <col min="15874" max="15874" width="27.109375" customWidth="1"/>
    <col min="15875" max="15875" width="8.109375" customWidth="1"/>
    <col min="15876" max="15876" width="3" bestFit="1" customWidth="1"/>
    <col min="15877" max="15877" width="18.6640625" bestFit="1" customWidth="1"/>
    <col min="15878" max="15878" width="7" bestFit="1" customWidth="1"/>
    <col min="15879" max="15879" width="2" bestFit="1" customWidth="1"/>
    <col min="15880" max="15881" width="7.6640625" customWidth="1"/>
    <col min="15882" max="15882" width="18.6640625" bestFit="1" customWidth="1"/>
    <col min="15883" max="15883" width="7.6640625" customWidth="1"/>
    <col min="16129" max="16129" width="2" bestFit="1" customWidth="1"/>
    <col min="16130" max="16130" width="27.109375" customWidth="1"/>
    <col min="16131" max="16131" width="8.109375" customWidth="1"/>
    <col min="16132" max="16132" width="3" bestFit="1" customWidth="1"/>
    <col min="16133" max="16133" width="18.6640625" bestFit="1" customWidth="1"/>
    <col min="16134" max="16134" width="7" bestFit="1" customWidth="1"/>
    <col min="16135" max="16135" width="2" bestFit="1" customWidth="1"/>
    <col min="16136" max="16137" width="7.6640625" customWidth="1"/>
    <col min="16138" max="16138" width="18.6640625" bestFit="1" customWidth="1"/>
    <col min="16139" max="16139" width="7.6640625" customWidth="1"/>
  </cols>
  <sheetData>
    <row r="1" spans="1:11" ht="43.2" x14ac:dyDescent="0.3">
      <c r="B1" s="34" t="str">
        <f>"If you deposit "&amp;DOLLAR(C5)&amp;" at the end of each year for the next "&amp;C4&amp;" years and you can earn "&amp;TEXT(C2,"0.00%")&amp;" compounded "&amp;C3&amp;" time a year, what is the Future Value?"</f>
        <v>If you deposit $50.00 at the end of each year for the next 3 years and you can earn 12.00% compounded 1 time a year, what is the Future Value?</v>
      </c>
      <c r="C1" s="34"/>
      <c r="D1" s="34"/>
      <c r="E1" s="34"/>
      <c r="G1" s="54">
        <v>1</v>
      </c>
      <c r="H1" s="141" t="s">
        <v>76</v>
      </c>
      <c r="I1" s="34"/>
      <c r="J1" s="34"/>
      <c r="K1" s="34"/>
    </row>
    <row r="2" spans="1:11" x14ac:dyDescent="0.3">
      <c r="B2" s="8" t="s">
        <v>57</v>
      </c>
      <c r="C2" s="1">
        <v>0.12</v>
      </c>
      <c r="H2" s="1">
        <v>0</v>
      </c>
      <c r="I2" s="1"/>
      <c r="J2" s="1"/>
      <c r="K2" s="1"/>
    </row>
    <row r="3" spans="1:11" x14ac:dyDescent="0.3">
      <c r="B3" s="8" t="s">
        <v>39</v>
      </c>
      <c r="C3" s="1">
        <v>1</v>
      </c>
      <c r="G3">
        <v>3</v>
      </c>
      <c r="H3" s="1">
        <v>1</v>
      </c>
      <c r="I3" s="1">
        <f>$C$5</f>
        <v>50</v>
      </c>
      <c r="J3" s="1" t="str">
        <f>"*(1+"&amp;$C$2&amp;"/"&amp;$C$3&amp;")^("&amp;$C$3&amp;"*"&amp;ROWS(I3:$I$5)-1&amp;")) ="</f>
        <v>*(1+0.12/1)^(1*2)) =</v>
      </c>
      <c r="K3" s="42">
        <f>I3*(1+$C$2/$C$3)^(G3-1)</f>
        <v>62.720000000000006</v>
      </c>
    </row>
    <row r="4" spans="1:11" x14ac:dyDescent="0.3">
      <c r="B4" s="8" t="s">
        <v>77</v>
      </c>
      <c r="C4" s="1">
        <v>3</v>
      </c>
      <c r="G4">
        <v>2</v>
      </c>
      <c r="H4" s="1">
        <v>2</v>
      </c>
      <c r="I4" s="1">
        <f>$C$5</f>
        <v>50</v>
      </c>
      <c r="J4" s="1" t="str">
        <f>"*(1+"&amp;$C$2&amp;"/"&amp;$C$3&amp;")^("&amp;$C$3&amp;"*"&amp;ROWS(I4:$I$5)-1&amp;")) ="</f>
        <v>*(1+0.12/1)^(1*1)) =</v>
      </c>
      <c r="K4" s="42">
        <f t="shared" ref="K4:K5" si="0">I4*(1+$C$2/$C$3)^(G4-1)</f>
        <v>56.000000000000007</v>
      </c>
    </row>
    <row r="5" spans="1:11" ht="29.4" thickBot="1" x14ac:dyDescent="0.35">
      <c r="B5" s="8" t="s">
        <v>78</v>
      </c>
      <c r="C5" s="1">
        <v>50</v>
      </c>
      <c r="G5">
        <v>1</v>
      </c>
      <c r="H5" s="1">
        <v>3</v>
      </c>
      <c r="I5" s="1">
        <f>$C$5</f>
        <v>50</v>
      </c>
      <c r="J5" s="1" t="str">
        <f>"*(1+"&amp;$C$2&amp;"/"&amp;$C$3&amp;")^("&amp;$C$3&amp;"*"&amp;ROWS(I5:$I$5)-1&amp;")) ="</f>
        <v>*(1+0.12/1)^(1*0)) =</v>
      </c>
      <c r="K5" s="42">
        <f t="shared" si="0"/>
        <v>50</v>
      </c>
    </row>
    <row r="6" spans="1:11" ht="29.4" thickBot="1" x14ac:dyDescent="0.35">
      <c r="B6" s="8" t="s">
        <v>244</v>
      </c>
      <c r="C6" s="3"/>
      <c r="H6" s="10"/>
      <c r="K6" s="32">
        <f>SUM(K3:K5)</f>
        <v>168.72000000000003</v>
      </c>
    </row>
    <row r="7" spans="1:11" ht="15" thickTop="1" x14ac:dyDescent="0.3">
      <c r="H7" s="10"/>
      <c r="K7" s="5"/>
    </row>
    <row r="8" spans="1:11" ht="28.8" x14ac:dyDescent="0.3">
      <c r="A8" s="54">
        <v>2</v>
      </c>
      <c r="B8" s="56" t="s">
        <v>308</v>
      </c>
      <c r="C8" s="42">
        <f>C5*((1+C2)^C4-1)/C2</f>
        <v>168.72000000000017</v>
      </c>
    </row>
    <row r="9" spans="1:11" x14ac:dyDescent="0.3">
      <c r="A9" s="54">
        <v>3</v>
      </c>
      <c r="B9" s="8" t="s">
        <v>245</v>
      </c>
      <c r="C9" s="30">
        <f>FV(C2,C4,-C5)</f>
        <v>168.72000000000017</v>
      </c>
    </row>
    <row r="11" spans="1:11" ht="43.2" x14ac:dyDescent="0.3">
      <c r="B11" s="8" t="s">
        <v>309</v>
      </c>
      <c r="C11" s="1">
        <f>((1+C2/C3)^(C3*C4)-1)/(C2/C3)</f>
        <v>3.3744000000000036</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D11"/>
  <sheetViews>
    <sheetView zoomScale="160" zoomScaleNormal="160" workbookViewId="0">
      <selection activeCell="B5" sqref="B5"/>
    </sheetView>
  </sheetViews>
  <sheetFormatPr defaultRowHeight="14.4" x14ac:dyDescent="0.3"/>
  <cols>
    <col min="2" max="2" width="10.5546875" bestFit="1" customWidth="1"/>
    <col min="3" max="3" width="9.88671875" bestFit="1" customWidth="1"/>
  </cols>
  <sheetData>
    <row r="1" spans="1:4" x14ac:dyDescent="0.25">
      <c r="A1" s="134" t="s">
        <v>238</v>
      </c>
      <c r="B1" s="1">
        <v>0.05</v>
      </c>
    </row>
    <row r="2" spans="1:4" x14ac:dyDescent="0.25">
      <c r="A2" s="134" t="s">
        <v>239</v>
      </c>
      <c r="B2" s="1">
        <v>4</v>
      </c>
    </row>
    <row r="3" spans="1:4" x14ac:dyDescent="0.25">
      <c r="A3" s="134" t="s">
        <v>97</v>
      </c>
      <c r="B3" s="1">
        <v>-500</v>
      </c>
    </row>
    <row r="4" spans="1:4" x14ac:dyDescent="0.25">
      <c r="A4" s="134" t="s">
        <v>241</v>
      </c>
      <c r="B4" s="1">
        <v>1</v>
      </c>
      <c r="C4" s="1" t="s">
        <v>240</v>
      </c>
    </row>
    <row r="5" spans="1:4" x14ac:dyDescent="0.25">
      <c r="A5" s="134" t="s">
        <v>1</v>
      </c>
      <c r="B5" s="135"/>
      <c r="C5" s="135"/>
      <c r="D5" t="s">
        <v>243</v>
      </c>
    </row>
    <row r="7" spans="1:4" x14ac:dyDescent="0.25">
      <c r="A7" s="134" t="s">
        <v>238</v>
      </c>
      <c r="B7" s="1">
        <v>0.05</v>
      </c>
    </row>
    <row r="8" spans="1:4" x14ac:dyDescent="0.25">
      <c r="A8" s="134" t="s">
        <v>239</v>
      </c>
      <c r="B8" s="1">
        <v>4</v>
      </c>
    </row>
    <row r="9" spans="1:4" x14ac:dyDescent="0.25">
      <c r="A9" s="134" t="s">
        <v>97</v>
      </c>
      <c r="B9" s="1">
        <v>-500</v>
      </c>
    </row>
    <row r="10" spans="1:4" x14ac:dyDescent="0.25">
      <c r="A10" s="134" t="s">
        <v>241</v>
      </c>
      <c r="B10" s="1">
        <v>0</v>
      </c>
      <c r="C10" s="1" t="s">
        <v>242</v>
      </c>
    </row>
    <row r="11" spans="1:4" x14ac:dyDescent="0.25">
      <c r="A11" s="134" t="s">
        <v>1</v>
      </c>
      <c r="B11" s="13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1"/>
  <sheetViews>
    <sheetView zoomScale="145" zoomScaleNormal="145" workbookViewId="0">
      <selection activeCell="B5" sqref="B5"/>
    </sheetView>
  </sheetViews>
  <sheetFormatPr defaultRowHeight="14.4" x14ac:dyDescent="0.3"/>
  <cols>
    <col min="2" max="2" width="10.5546875" bestFit="1" customWidth="1"/>
    <col min="3" max="3" width="9.88671875" bestFit="1" customWidth="1"/>
  </cols>
  <sheetData>
    <row r="1" spans="1:4" x14ac:dyDescent="0.25">
      <c r="A1" s="134" t="s">
        <v>238</v>
      </c>
      <c r="B1" s="1">
        <v>0.05</v>
      </c>
    </row>
    <row r="2" spans="1:4" x14ac:dyDescent="0.25">
      <c r="A2" s="134" t="s">
        <v>239</v>
      </c>
      <c r="B2" s="1">
        <v>4</v>
      </c>
    </row>
    <row r="3" spans="1:4" x14ac:dyDescent="0.25">
      <c r="A3" s="134" t="s">
        <v>97</v>
      </c>
      <c r="B3" s="1">
        <v>-500</v>
      </c>
    </row>
    <row r="4" spans="1:4" x14ac:dyDescent="0.25">
      <c r="A4" s="134" t="s">
        <v>241</v>
      </c>
      <c r="B4" s="1">
        <v>1</v>
      </c>
      <c r="C4" s="1" t="s">
        <v>240</v>
      </c>
    </row>
    <row r="5" spans="1:4" x14ac:dyDescent="0.25">
      <c r="A5" s="134" t="s">
        <v>1</v>
      </c>
      <c r="B5" s="135">
        <f>FV(B1,B2,B3,,B4)</f>
        <v>2262.8156250000002</v>
      </c>
      <c r="C5" s="135">
        <f>B11*(1+B1)</f>
        <v>2262.8156250000002</v>
      </c>
      <c r="D5" t="s">
        <v>243</v>
      </c>
    </row>
    <row r="7" spans="1:4" x14ac:dyDescent="0.25">
      <c r="A7" s="134" t="s">
        <v>238</v>
      </c>
      <c r="B7" s="1">
        <v>0.05</v>
      </c>
    </row>
    <row r="8" spans="1:4" x14ac:dyDescent="0.25">
      <c r="A8" s="134" t="s">
        <v>239</v>
      </c>
      <c r="B8" s="1">
        <v>4</v>
      </c>
    </row>
    <row r="9" spans="1:4" x14ac:dyDescent="0.25">
      <c r="A9" s="134" t="s">
        <v>97</v>
      </c>
      <c r="B9" s="1">
        <v>-500</v>
      </c>
    </row>
    <row r="10" spans="1:4" x14ac:dyDescent="0.25">
      <c r="A10" s="134" t="s">
        <v>241</v>
      </c>
      <c r="B10" s="1">
        <v>0</v>
      </c>
      <c r="C10" s="1" t="s">
        <v>242</v>
      </c>
    </row>
    <row r="11" spans="1:4" x14ac:dyDescent="0.25">
      <c r="A11" s="134" t="s">
        <v>1</v>
      </c>
      <c r="B11" s="135">
        <f>FV(B7,B8,B9,,B10)</f>
        <v>2155.0625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14"/>
  <sheetViews>
    <sheetView zoomScale="115" zoomScaleNormal="115" workbookViewId="0">
      <selection activeCell="B8" sqref="B8"/>
    </sheetView>
  </sheetViews>
  <sheetFormatPr defaultRowHeight="14.4" x14ac:dyDescent="0.3"/>
  <cols>
    <col min="1" max="1" width="27.109375" customWidth="1"/>
    <col min="2" max="2" width="15" bestFit="1" customWidth="1"/>
    <col min="3" max="3" width="3" bestFit="1" customWidth="1"/>
    <col min="4" max="4" width="18.6640625" bestFit="1" customWidth="1"/>
    <col min="257" max="257" width="27.109375" customWidth="1"/>
    <col min="258" max="258" width="15" bestFit="1" customWidth="1"/>
    <col min="259" max="259" width="3" bestFit="1" customWidth="1"/>
    <col min="260" max="260" width="18.6640625" bestFit="1" customWidth="1"/>
    <col min="513" max="513" width="27.109375" customWidth="1"/>
    <col min="514" max="514" width="15" bestFit="1" customWidth="1"/>
    <col min="515" max="515" width="3" bestFit="1" customWidth="1"/>
    <col min="516" max="516" width="18.6640625" bestFit="1" customWidth="1"/>
    <col min="769" max="769" width="27.109375" customWidth="1"/>
    <col min="770" max="770" width="15" bestFit="1" customWidth="1"/>
    <col min="771" max="771" width="3" bestFit="1" customWidth="1"/>
    <col min="772" max="772" width="18.6640625" bestFit="1" customWidth="1"/>
    <col min="1025" max="1025" width="27.109375" customWidth="1"/>
    <col min="1026" max="1026" width="15" bestFit="1" customWidth="1"/>
    <col min="1027" max="1027" width="3" bestFit="1" customWidth="1"/>
    <col min="1028" max="1028" width="18.6640625" bestFit="1" customWidth="1"/>
    <col min="1281" max="1281" width="27.109375" customWidth="1"/>
    <col min="1282" max="1282" width="15" bestFit="1" customWidth="1"/>
    <col min="1283" max="1283" width="3" bestFit="1" customWidth="1"/>
    <col min="1284" max="1284" width="18.6640625" bestFit="1" customWidth="1"/>
    <col min="1537" max="1537" width="27.109375" customWidth="1"/>
    <col min="1538" max="1538" width="15" bestFit="1" customWidth="1"/>
    <col min="1539" max="1539" width="3" bestFit="1" customWidth="1"/>
    <col min="1540" max="1540" width="18.6640625" bestFit="1" customWidth="1"/>
    <col min="1793" max="1793" width="27.109375" customWidth="1"/>
    <col min="1794" max="1794" width="15" bestFit="1" customWidth="1"/>
    <col min="1795" max="1795" width="3" bestFit="1" customWidth="1"/>
    <col min="1796" max="1796" width="18.6640625" bestFit="1" customWidth="1"/>
    <col min="2049" max="2049" width="27.109375" customWidth="1"/>
    <col min="2050" max="2050" width="15" bestFit="1" customWidth="1"/>
    <col min="2051" max="2051" width="3" bestFit="1" customWidth="1"/>
    <col min="2052" max="2052" width="18.6640625" bestFit="1" customWidth="1"/>
    <col min="2305" max="2305" width="27.109375" customWidth="1"/>
    <col min="2306" max="2306" width="15" bestFit="1" customWidth="1"/>
    <col min="2307" max="2307" width="3" bestFit="1" customWidth="1"/>
    <col min="2308" max="2308" width="18.6640625" bestFit="1" customWidth="1"/>
    <col min="2561" max="2561" width="27.109375" customWidth="1"/>
    <col min="2562" max="2562" width="15" bestFit="1" customWidth="1"/>
    <col min="2563" max="2563" width="3" bestFit="1" customWidth="1"/>
    <col min="2564" max="2564" width="18.6640625" bestFit="1" customWidth="1"/>
    <col min="2817" max="2817" width="27.109375" customWidth="1"/>
    <col min="2818" max="2818" width="15" bestFit="1" customWidth="1"/>
    <col min="2819" max="2819" width="3" bestFit="1" customWidth="1"/>
    <col min="2820" max="2820" width="18.6640625" bestFit="1" customWidth="1"/>
    <col min="3073" max="3073" width="27.109375" customWidth="1"/>
    <col min="3074" max="3074" width="15" bestFit="1" customWidth="1"/>
    <col min="3075" max="3075" width="3" bestFit="1" customWidth="1"/>
    <col min="3076" max="3076" width="18.6640625" bestFit="1" customWidth="1"/>
    <col min="3329" max="3329" width="27.109375" customWidth="1"/>
    <col min="3330" max="3330" width="15" bestFit="1" customWidth="1"/>
    <col min="3331" max="3331" width="3" bestFit="1" customWidth="1"/>
    <col min="3332" max="3332" width="18.6640625" bestFit="1" customWidth="1"/>
    <col min="3585" max="3585" width="27.109375" customWidth="1"/>
    <col min="3586" max="3586" width="15" bestFit="1" customWidth="1"/>
    <col min="3587" max="3587" width="3" bestFit="1" customWidth="1"/>
    <col min="3588" max="3588" width="18.6640625" bestFit="1" customWidth="1"/>
    <col min="3841" max="3841" width="27.109375" customWidth="1"/>
    <col min="3842" max="3842" width="15" bestFit="1" customWidth="1"/>
    <col min="3843" max="3843" width="3" bestFit="1" customWidth="1"/>
    <col min="3844" max="3844" width="18.6640625" bestFit="1" customWidth="1"/>
    <col min="4097" max="4097" width="27.109375" customWidth="1"/>
    <col min="4098" max="4098" width="15" bestFit="1" customWidth="1"/>
    <col min="4099" max="4099" width="3" bestFit="1" customWidth="1"/>
    <col min="4100" max="4100" width="18.6640625" bestFit="1" customWidth="1"/>
    <col min="4353" max="4353" width="27.109375" customWidth="1"/>
    <col min="4354" max="4354" width="15" bestFit="1" customWidth="1"/>
    <col min="4355" max="4355" width="3" bestFit="1" customWidth="1"/>
    <col min="4356" max="4356" width="18.6640625" bestFit="1" customWidth="1"/>
    <col min="4609" max="4609" width="27.109375" customWidth="1"/>
    <col min="4610" max="4610" width="15" bestFit="1" customWidth="1"/>
    <col min="4611" max="4611" width="3" bestFit="1" customWidth="1"/>
    <col min="4612" max="4612" width="18.6640625" bestFit="1" customWidth="1"/>
    <col min="4865" max="4865" width="27.109375" customWidth="1"/>
    <col min="4866" max="4866" width="15" bestFit="1" customWidth="1"/>
    <col min="4867" max="4867" width="3" bestFit="1" customWidth="1"/>
    <col min="4868" max="4868" width="18.6640625" bestFit="1" customWidth="1"/>
    <col min="5121" max="5121" width="27.109375" customWidth="1"/>
    <col min="5122" max="5122" width="15" bestFit="1" customWidth="1"/>
    <col min="5123" max="5123" width="3" bestFit="1" customWidth="1"/>
    <col min="5124" max="5124" width="18.6640625" bestFit="1" customWidth="1"/>
    <col min="5377" max="5377" width="27.109375" customWidth="1"/>
    <col min="5378" max="5378" width="15" bestFit="1" customWidth="1"/>
    <col min="5379" max="5379" width="3" bestFit="1" customWidth="1"/>
    <col min="5380" max="5380" width="18.6640625" bestFit="1" customWidth="1"/>
    <col min="5633" max="5633" width="27.109375" customWidth="1"/>
    <col min="5634" max="5634" width="15" bestFit="1" customWidth="1"/>
    <col min="5635" max="5635" width="3" bestFit="1" customWidth="1"/>
    <col min="5636" max="5636" width="18.6640625" bestFit="1" customWidth="1"/>
    <col min="5889" max="5889" width="27.109375" customWidth="1"/>
    <col min="5890" max="5890" width="15" bestFit="1" customWidth="1"/>
    <col min="5891" max="5891" width="3" bestFit="1" customWidth="1"/>
    <col min="5892" max="5892" width="18.6640625" bestFit="1" customWidth="1"/>
    <col min="6145" max="6145" width="27.109375" customWidth="1"/>
    <col min="6146" max="6146" width="15" bestFit="1" customWidth="1"/>
    <col min="6147" max="6147" width="3" bestFit="1" customWidth="1"/>
    <col min="6148" max="6148" width="18.6640625" bestFit="1" customWidth="1"/>
    <col min="6401" max="6401" width="27.109375" customWidth="1"/>
    <col min="6402" max="6402" width="15" bestFit="1" customWidth="1"/>
    <col min="6403" max="6403" width="3" bestFit="1" customWidth="1"/>
    <col min="6404" max="6404" width="18.6640625" bestFit="1" customWidth="1"/>
    <col min="6657" max="6657" width="27.109375" customWidth="1"/>
    <col min="6658" max="6658" width="15" bestFit="1" customWidth="1"/>
    <col min="6659" max="6659" width="3" bestFit="1" customWidth="1"/>
    <col min="6660" max="6660" width="18.6640625" bestFit="1" customWidth="1"/>
    <col min="6913" max="6913" width="27.109375" customWidth="1"/>
    <col min="6914" max="6914" width="15" bestFit="1" customWidth="1"/>
    <col min="6915" max="6915" width="3" bestFit="1" customWidth="1"/>
    <col min="6916" max="6916" width="18.6640625" bestFit="1" customWidth="1"/>
    <col min="7169" max="7169" width="27.109375" customWidth="1"/>
    <col min="7170" max="7170" width="15" bestFit="1" customWidth="1"/>
    <col min="7171" max="7171" width="3" bestFit="1" customWidth="1"/>
    <col min="7172" max="7172" width="18.6640625" bestFit="1" customWidth="1"/>
    <col min="7425" max="7425" width="27.109375" customWidth="1"/>
    <col min="7426" max="7426" width="15" bestFit="1" customWidth="1"/>
    <col min="7427" max="7427" width="3" bestFit="1" customWidth="1"/>
    <col min="7428" max="7428" width="18.6640625" bestFit="1" customWidth="1"/>
    <col min="7681" max="7681" width="27.109375" customWidth="1"/>
    <col min="7682" max="7682" width="15" bestFit="1" customWidth="1"/>
    <col min="7683" max="7683" width="3" bestFit="1" customWidth="1"/>
    <col min="7684" max="7684" width="18.6640625" bestFit="1" customWidth="1"/>
    <col min="7937" max="7937" width="27.109375" customWidth="1"/>
    <col min="7938" max="7938" width="15" bestFit="1" customWidth="1"/>
    <col min="7939" max="7939" width="3" bestFit="1" customWidth="1"/>
    <col min="7940" max="7940" width="18.6640625" bestFit="1" customWidth="1"/>
    <col min="8193" max="8193" width="27.109375" customWidth="1"/>
    <col min="8194" max="8194" width="15" bestFit="1" customWidth="1"/>
    <col min="8195" max="8195" width="3" bestFit="1" customWidth="1"/>
    <col min="8196" max="8196" width="18.6640625" bestFit="1" customWidth="1"/>
    <col min="8449" max="8449" width="27.109375" customWidth="1"/>
    <col min="8450" max="8450" width="15" bestFit="1" customWidth="1"/>
    <col min="8451" max="8451" width="3" bestFit="1" customWidth="1"/>
    <col min="8452" max="8452" width="18.6640625" bestFit="1" customWidth="1"/>
    <col min="8705" max="8705" width="27.109375" customWidth="1"/>
    <col min="8706" max="8706" width="15" bestFit="1" customWidth="1"/>
    <col min="8707" max="8707" width="3" bestFit="1" customWidth="1"/>
    <col min="8708" max="8708" width="18.6640625" bestFit="1" customWidth="1"/>
    <col min="8961" max="8961" width="27.109375" customWidth="1"/>
    <col min="8962" max="8962" width="15" bestFit="1" customWidth="1"/>
    <col min="8963" max="8963" width="3" bestFit="1" customWidth="1"/>
    <col min="8964" max="8964" width="18.6640625" bestFit="1" customWidth="1"/>
    <col min="9217" max="9217" width="27.109375" customWidth="1"/>
    <col min="9218" max="9218" width="15" bestFit="1" customWidth="1"/>
    <col min="9219" max="9219" width="3" bestFit="1" customWidth="1"/>
    <col min="9220" max="9220" width="18.6640625" bestFit="1" customWidth="1"/>
    <col min="9473" max="9473" width="27.109375" customWidth="1"/>
    <col min="9474" max="9474" width="15" bestFit="1" customWidth="1"/>
    <col min="9475" max="9475" width="3" bestFit="1" customWidth="1"/>
    <col min="9476" max="9476" width="18.6640625" bestFit="1" customWidth="1"/>
    <col min="9729" max="9729" width="27.109375" customWidth="1"/>
    <col min="9730" max="9730" width="15" bestFit="1" customWidth="1"/>
    <col min="9731" max="9731" width="3" bestFit="1" customWidth="1"/>
    <col min="9732" max="9732" width="18.6640625" bestFit="1" customWidth="1"/>
    <col min="9985" max="9985" width="27.109375" customWidth="1"/>
    <col min="9986" max="9986" width="15" bestFit="1" customWidth="1"/>
    <col min="9987" max="9987" width="3" bestFit="1" customWidth="1"/>
    <col min="9988" max="9988" width="18.6640625" bestFit="1" customWidth="1"/>
    <col min="10241" max="10241" width="27.109375" customWidth="1"/>
    <col min="10242" max="10242" width="15" bestFit="1" customWidth="1"/>
    <col min="10243" max="10243" width="3" bestFit="1" customWidth="1"/>
    <col min="10244" max="10244" width="18.6640625" bestFit="1" customWidth="1"/>
    <col min="10497" max="10497" width="27.109375" customWidth="1"/>
    <col min="10498" max="10498" width="15" bestFit="1" customWidth="1"/>
    <col min="10499" max="10499" width="3" bestFit="1" customWidth="1"/>
    <col min="10500" max="10500" width="18.6640625" bestFit="1" customWidth="1"/>
    <col min="10753" max="10753" width="27.109375" customWidth="1"/>
    <col min="10754" max="10754" width="15" bestFit="1" customWidth="1"/>
    <col min="10755" max="10755" width="3" bestFit="1" customWidth="1"/>
    <col min="10756" max="10756" width="18.6640625" bestFit="1" customWidth="1"/>
    <col min="11009" max="11009" width="27.109375" customWidth="1"/>
    <col min="11010" max="11010" width="15" bestFit="1" customWidth="1"/>
    <col min="11011" max="11011" width="3" bestFit="1" customWidth="1"/>
    <col min="11012" max="11012" width="18.6640625" bestFit="1" customWidth="1"/>
    <col min="11265" max="11265" width="27.109375" customWidth="1"/>
    <col min="11266" max="11266" width="15" bestFit="1" customWidth="1"/>
    <col min="11267" max="11267" width="3" bestFit="1" customWidth="1"/>
    <col min="11268" max="11268" width="18.6640625" bestFit="1" customWidth="1"/>
    <col min="11521" max="11521" width="27.109375" customWidth="1"/>
    <col min="11522" max="11522" width="15" bestFit="1" customWidth="1"/>
    <col min="11523" max="11523" width="3" bestFit="1" customWidth="1"/>
    <col min="11524" max="11524" width="18.6640625" bestFit="1" customWidth="1"/>
    <col min="11777" max="11777" width="27.109375" customWidth="1"/>
    <col min="11778" max="11778" width="15" bestFit="1" customWidth="1"/>
    <col min="11779" max="11779" width="3" bestFit="1" customWidth="1"/>
    <col min="11780" max="11780" width="18.6640625" bestFit="1" customWidth="1"/>
    <col min="12033" max="12033" width="27.109375" customWidth="1"/>
    <col min="12034" max="12034" width="15" bestFit="1" customWidth="1"/>
    <col min="12035" max="12035" width="3" bestFit="1" customWidth="1"/>
    <col min="12036" max="12036" width="18.6640625" bestFit="1" customWidth="1"/>
    <col min="12289" max="12289" width="27.109375" customWidth="1"/>
    <col min="12290" max="12290" width="15" bestFit="1" customWidth="1"/>
    <col min="12291" max="12291" width="3" bestFit="1" customWidth="1"/>
    <col min="12292" max="12292" width="18.6640625" bestFit="1" customWidth="1"/>
    <col min="12545" max="12545" width="27.109375" customWidth="1"/>
    <col min="12546" max="12546" width="15" bestFit="1" customWidth="1"/>
    <col min="12547" max="12547" width="3" bestFit="1" customWidth="1"/>
    <col min="12548" max="12548" width="18.6640625" bestFit="1" customWidth="1"/>
    <col min="12801" max="12801" width="27.109375" customWidth="1"/>
    <col min="12802" max="12802" width="15" bestFit="1" customWidth="1"/>
    <col min="12803" max="12803" width="3" bestFit="1" customWidth="1"/>
    <col min="12804" max="12804" width="18.6640625" bestFit="1" customWidth="1"/>
    <col min="13057" max="13057" width="27.109375" customWidth="1"/>
    <col min="13058" max="13058" width="15" bestFit="1" customWidth="1"/>
    <col min="13059" max="13059" width="3" bestFit="1" customWidth="1"/>
    <col min="13060" max="13060" width="18.6640625" bestFit="1" customWidth="1"/>
    <col min="13313" max="13313" width="27.109375" customWidth="1"/>
    <col min="13314" max="13314" width="15" bestFit="1" customWidth="1"/>
    <col min="13315" max="13315" width="3" bestFit="1" customWidth="1"/>
    <col min="13316" max="13316" width="18.6640625" bestFit="1" customWidth="1"/>
    <col min="13569" max="13569" width="27.109375" customWidth="1"/>
    <col min="13570" max="13570" width="15" bestFit="1" customWidth="1"/>
    <col min="13571" max="13571" width="3" bestFit="1" customWidth="1"/>
    <col min="13572" max="13572" width="18.6640625" bestFit="1" customWidth="1"/>
    <col min="13825" max="13825" width="27.109375" customWidth="1"/>
    <col min="13826" max="13826" width="15" bestFit="1" customWidth="1"/>
    <col min="13827" max="13827" width="3" bestFit="1" customWidth="1"/>
    <col min="13828" max="13828" width="18.6640625" bestFit="1" customWidth="1"/>
    <col min="14081" max="14081" width="27.109375" customWidth="1"/>
    <col min="14082" max="14082" width="15" bestFit="1" customWidth="1"/>
    <col min="14083" max="14083" width="3" bestFit="1" customWidth="1"/>
    <col min="14084" max="14084" width="18.6640625" bestFit="1" customWidth="1"/>
    <col min="14337" max="14337" width="27.109375" customWidth="1"/>
    <col min="14338" max="14338" width="15" bestFit="1" customWidth="1"/>
    <col min="14339" max="14339" width="3" bestFit="1" customWidth="1"/>
    <col min="14340" max="14340" width="18.6640625" bestFit="1" customWidth="1"/>
    <col min="14593" max="14593" width="27.109375" customWidth="1"/>
    <col min="14594" max="14594" width="15" bestFit="1" customWidth="1"/>
    <col min="14595" max="14595" width="3" bestFit="1" customWidth="1"/>
    <col min="14596" max="14596" width="18.6640625" bestFit="1" customWidth="1"/>
    <col min="14849" max="14849" width="27.109375" customWidth="1"/>
    <col min="14850" max="14850" width="15" bestFit="1" customWidth="1"/>
    <col min="14851" max="14851" width="3" bestFit="1" customWidth="1"/>
    <col min="14852" max="14852" width="18.6640625" bestFit="1" customWidth="1"/>
    <col min="15105" max="15105" width="27.109375" customWidth="1"/>
    <col min="15106" max="15106" width="15" bestFit="1" customWidth="1"/>
    <col min="15107" max="15107" width="3" bestFit="1" customWidth="1"/>
    <col min="15108" max="15108" width="18.6640625" bestFit="1" customWidth="1"/>
    <col min="15361" max="15361" width="27.109375" customWidth="1"/>
    <col min="15362" max="15362" width="15" bestFit="1" customWidth="1"/>
    <col min="15363" max="15363" width="3" bestFit="1" customWidth="1"/>
    <col min="15364" max="15364" width="18.6640625" bestFit="1" customWidth="1"/>
    <col min="15617" max="15617" width="27.109375" customWidth="1"/>
    <col min="15618" max="15618" width="15" bestFit="1" customWidth="1"/>
    <col min="15619" max="15619" width="3" bestFit="1" customWidth="1"/>
    <col min="15620" max="15620" width="18.6640625" bestFit="1" customWidth="1"/>
    <col min="15873" max="15873" width="27.109375" customWidth="1"/>
    <col min="15874" max="15874" width="15" bestFit="1" customWidth="1"/>
    <col min="15875" max="15875" width="3" bestFit="1" customWidth="1"/>
    <col min="15876" max="15876" width="18.6640625" bestFit="1" customWidth="1"/>
    <col min="16129" max="16129" width="27.109375" customWidth="1"/>
    <col min="16130" max="16130" width="15" bestFit="1" customWidth="1"/>
    <col min="16131" max="16131" width="3" bestFit="1" customWidth="1"/>
    <col min="16132" max="16132" width="18.6640625" bestFit="1" customWidth="1"/>
  </cols>
  <sheetData>
    <row r="1" spans="1:8" ht="43.2" x14ac:dyDescent="0.3">
      <c r="A1" s="34" t="str">
        <f>"If your investment plan requires that you deposit "&amp;DOLLAR(B5)&amp;" at the end of each period for the next "&amp;B4&amp;" years and you can earn "&amp;TEXT(B2,"0.00%")&amp;" compounded "&amp;B3&amp;" time a year, what is the Future Value?"</f>
        <v>If your investment plan requires that you deposit $100.00 at the end of each period for the next 40 years and you can earn 12.00% compounded 12 time a year, what is the Future Value?</v>
      </c>
      <c r="B1" s="34"/>
      <c r="C1" s="34"/>
      <c r="D1" s="34"/>
    </row>
    <row r="2" spans="1:8" x14ac:dyDescent="0.3">
      <c r="A2" s="8" t="s">
        <v>57</v>
      </c>
      <c r="B2" s="1">
        <v>0.12</v>
      </c>
    </row>
    <row r="3" spans="1:8" x14ac:dyDescent="0.3">
      <c r="A3" s="8" t="s">
        <v>39</v>
      </c>
      <c r="B3" s="1">
        <v>12</v>
      </c>
    </row>
    <row r="4" spans="1:8" x14ac:dyDescent="0.3">
      <c r="A4" s="8" t="s">
        <v>77</v>
      </c>
      <c r="B4" s="1">
        <v>40</v>
      </c>
    </row>
    <row r="5" spans="1:8" ht="28.95" x14ac:dyDescent="0.3">
      <c r="A5" s="8" t="s">
        <v>78</v>
      </c>
      <c r="B5" s="1">
        <v>100</v>
      </c>
    </row>
    <row r="6" spans="1:8" ht="45" x14ac:dyDescent="0.25">
      <c r="A6" s="8" t="s">
        <v>244</v>
      </c>
      <c r="B6" s="3"/>
    </row>
    <row r="7" spans="1:8" x14ac:dyDescent="0.3">
      <c r="A7" s="10"/>
    </row>
    <row r="8" spans="1:8" ht="28.8" x14ac:dyDescent="0.3">
      <c r="A8" s="56" t="s">
        <v>308</v>
      </c>
      <c r="B8" s="57"/>
    </row>
    <row r="9" spans="1:8" ht="15" x14ac:dyDescent="0.25">
      <c r="A9" s="8" t="s">
        <v>245</v>
      </c>
      <c r="B9" s="30"/>
    </row>
    <row r="11" spans="1:8" x14ac:dyDescent="0.3">
      <c r="A11" s="56" t="s">
        <v>80</v>
      </c>
      <c r="B11" s="57"/>
    </row>
    <row r="12" spans="1:8" x14ac:dyDescent="0.3">
      <c r="A12" s="56" t="s">
        <v>81</v>
      </c>
      <c r="B12" s="30"/>
    </row>
    <row r="14" spans="1:8" x14ac:dyDescent="0.3">
      <c r="A14" t="s">
        <v>82</v>
      </c>
      <c r="B14" s="58" t="str">
        <f>IF(B9="","","If your investment plan requires that you deposit "&amp;DOLLAR(B5)&amp;" at the end of each period for the next "&amp;B4&amp;" years and you can earn "&amp;TEXT(B2,"0.00%")&amp;" compounded "&amp;B3&amp;" time a year, your Future Value would be "&amp;DOLLAR(FV(B2/B3,B3*B4,-B5,,B6))&amp;".")</f>
        <v/>
      </c>
      <c r="C14" s="59"/>
      <c r="D14" s="59"/>
      <c r="E14" s="59"/>
      <c r="F14" s="59"/>
      <c r="G14" s="59"/>
      <c r="H14" s="6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4"/>
  <sheetViews>
    <sheetView zoomScaleNormal="100" workbookViewId="0">
      <selection activeCell="B8" sqref="B8"/>
    </sheetView>
  </sheetViews>
  <sheetFormatPr defaultRowHeight="14.4" x14ac:dyDescent="0.3"/>
  <cols>
    <col min="1" max="1" width="27.109375" customWidth="1"/>
    <col min="2" max="2" width="15" bestFit="1" customWidth="1"/>
    <col min="3" max="3" width="3" bestFit="1" customWidth="1"/>
    <col min="4" max="4" width="18.6640625" bestFit="1" customWidth="1"/>
    <col min="257" max="257" width="27.109375" customWidth="1"/>
    <col min="258" max="258" width="15" bestFit="1" customWidth="1"/>
    <col min="259" max="259" width="3" bestFit="1" customWidth="1"/>
    <col min="260" max="260" width="18.6640625" bestFit="1" customWidth="1"/>
    <col min="513" max="513" width="27.109375" customWidth="1"/>
    <col min="514" max="514" width="15" bestFit="1" customWidth="1"/>
    <col min="515" max="515" width="3" bestFit="1" customWidth="1"/>
    <col min="516" max="516" width="18.6640625" bestFit="1" customWidth="1"/>
    <col min="769" max="769" width="27.109375" customWidth="1"/>
    <col min="770" max="770" width="15" bestFit="1" customWidth="1"/>
    <col min="771" max="771" width="3" bestFit="1" customWidth="1"/>
    <col min="772" max="772" width="18.6640625" bestFit="1" customWidth="1"/>
    <col min="1025" max="1025" width="27.109375" customWidth="1"/>
    <col min="1026" max="1026" width="15" bestFit="1" customWidth="1"/>
    <col min="1027" max="1027" width="3" bestFit="1" customWidth="1"/>
    <col min="1028" max="1028" width="18.6640625" bestFit="1" customWidth="1"/>
    <col min="1281" max="1281" width="27.109375" customWidth="1"/>
    <col min="1282" max="1282" width="15" bestFit="1" customWidth="1"/>
    <col min="1283" max="1283" width="3" bestFit="1" customWidth="1"/>
    <col min="1284" max="1284" width="18.6640625" bestFit="1" customWidth="1"/>
    <col min="1537" max="1537" width="27.109375" customWidth="1"/>
    <col min="1538" max="1538" width="15" bestFit="1" customWidth="1"/>
    <col min="1539" max="1539" width="3" bestFit="1" customWidth="1"/>
    <col min="1540" max="1540" width="18.6640625" bestFit="1" customWidth="1"/>
    <col min="1793" max="1793" width="27.109375" customWidth="1"/>
    <col min="1794" max="1794" width="15" bestFit="1" customWidth="1"/>
    <col min="1795" max="1795" width="3" bestFit="1" customWidth="1"/>
    <col min="1796" max="1796" width="18.6640625" bestFit="1" customWidth="1"/>
    <col min="2049" max="2049" width="27.109375" customWidth="1"/>
    <col min="2050" max="2050" width="15" bestFit="1" customWidth="1"/>
    <col min="2051" max="2051" width="3" bestFit="1" customWidth="1"/>
    <col min="2052" max="2052" width="18.6640625" bestFit="1" customWidth="1"/>
    <col min="2305" max="2305" width="27.109375" customWidth="1"/>
    <col min="2306" max="2306" width="15" bestFit="1" customWidth="1"/>
    <col min="2307" max="2307" width="3" bestFit="1" customWidth="1"/>
    <col min="2308" max="2308" width="18.6640625" bestFit="1" customWidth="1"/>
    <col min="2561" max="2561" width="27.109375" customWidth="1"/>
    <col min="2562" max="2562" width="15" bestFit="1" customWidth="1"/>
    <col min="2563" max="2563" width="3" bestFit="1" customWidth="1"/>
    <col min="2564" max="2564" width="18.6640625" bestFit="1" customWidth="1"/>
    <col min="2817" max="2817" width="27.109375" customWidth="1"/>
    <col min="2818" max="2818" width="15" bestFit="1" customWidth="1"/>
    <col min="2819" max="2819" width="3" bestFit="1" customWidth="1"/>
    <col min="2820" max="2820" width="18.6640625" bestFit="1" customWidth="1"/>
    <col min="3073" max="3073" width="27.109375" customWidth="1"/>
    <col min="3074" max="3074" width="15" bestFit="1" customWidth="1"/>
    <col min="3075" max="3075" width="3" bestFit="1" customWidth="1"/>
    <col min="3076" max="3076" width="18.6640625" bestFit="1" customWidth="1"/>
    <col min="3329" max="3329" width="27.109375" customWidth="1"/>
    <col min="3330" max="3330" width="15" bestFit="1" customWidth="1"/>
    <col min="3331" max="3331" width="3" bestFit="1" customWidth="1"/>
    <col min="3332" max="3332" width="18.6640625" bestFit="1" customWidth="1"/>
    <col min="3585" max="3585" width="27.109375" customWidth="1"/>
    <col min="3586" max="3586" width="15" bestFit="1" customWidth="1"/>
    <col min="3587" max="3587" width="3" bestFit="1" customWidth="1"/>
    <col min="3588" max="3588" width="18.6640625" bestFit="1" customWidth="1"/>
    <col min="3841" max="3841" width="27.109375" customWidth="1"/>
    <col min="3842" max="3842" width="15" bestFit="1" customWidth="1"/>
    <col min="3843" max="3843" width="3" bestFit="1" customWidth="1"/>
    <col min="3844" max="3844" width="18.6640625" bestFit="1" customWidth="1"/>
    <col min="4097" max="4097" width="27.109375" customWidth="1"/>
    <col min="4098" max="4098" width="15" bestFit="1" customWidth="1"/>
    <col min="4099" max="4099" width="3" bestFit="1" customWidth="1"/>
    <col min="4100" max="4100" width="18.6640625" bestFit="1" customWidth="1"/>
    <col min="4353" max="4353" width="27.109375" customWidth="1"/>
    <col min="4354" max="4354" width="15" bestFit="1" customWidth="1"/>
    <col min="4355" max="4355" width="3" bestFit="1" customWidth="1"/>
    <col min="4356" max="4356" width="18.6640625" bestFit="1" customWidth="1"/>
    <col min="4609" max="4609" width="27.109375" customWidth="1"/>
    <col min="4610" max="4610" width="15" bestFit="1" customWidth="1"/>
    <col min="4611" max="4611" width="3" bestFit="1" customWidth="1"/>
    <col min="4612" max="4612" width="18.6640625" bestFit="1" customWidth="1"/>
    <col min="4865" max="4865" width="27.109375" customWidth="1"/>
    <col min="4866" max="4866" width="15" bestFit="1" customWidth="1"/>
    <col min="4867" max="4867" width="3" bestFit="1" customWidth="1"/>
    <col min="4868" max="4868" width="18.6640625" bestFit="1" customWidth="1"/>
    <col min="5121" max="5121" width="27.109375" customWidth="1"/>
    <col min="5122" max="5122" width="15" bestFit="1" customWidth="1"/>
    <col min="5123" max="5123" width="3" bestFit="1" customWidth="1"/>
    <col min="5124" max="5124" width="18.6640625" bestFit="1" customWidth="1"/>
    <col min="5377" max="5377" width="27.109375" customWidth="1"/>
    <col min="5378" max="5378" width="15" bestFit="1" customWidth="1"/>
    <col min="5379" max="5379" width="3" bestFit="1" customWidth="1"/>
    <col min="5380" max="5380" width="18.6640625" bestFit="1" customWidth="1"/>
    <col min="5633" max="5633" width="27.109375" customWidth="1"/>
    <col min="5634" max="5634" width="15" bestFit="1" customWidth="1"/>
    <col min="5635" max="5635" width="3" bestFit="1" customWidth="1"/>
    <col min="5636" max="5636" width="18.6640625" bestFit="1" customWidth="1"/>
    <col min="5889" max="5889" width="27.109375" customWidth="1"/>
    <col min="5890" max="5890" width="15" bestFit="1" customWidth="1"/>
    <col min="5891" max="5891" width="3" bestFit="1" customWidth="1"/>
    <col min="5892" max="5892" width="18.6640625" bestFit="1" customWidth="1"/>
    <col min="6145" max="6145" width="27.109375" customWidth="1"/>
    <col min="6146" max="6146" width="15" bestFit="1" customWidth="1"/>
    <col min="6147" max="6147" width="3" bestFit="1" customWidth="1"/>
    <col min="6148" max="6148" width="18.6640625" bestFit="1" customWidth="1"/>
    <col min="6401" max="6401" width="27.109375" customWidth="1"/>
    <col min="6402" max="6402" width="15" bestFit="1" customWidth="1"/>
    <col min="6403" max="6403" width="3" bestFit="1" customWidth="1"/>
    <col min="6404" max="6404" width="18.6640625" bestFit="1" customWidth="1"/>
    <col min="6657" max="6657" width="27.109375" customWidth="1"/>
    <col min="6658" max="6658" width="15" bestFit="1" customWidth="1"/>
    <col min="6659" max="6659" width="3" bestFit="1" customWidth="1"/>
    <col min="6660" max="6660" width="18.6640625" bestFit="1" customWidth="1"/>
    <col min="6913" max="6913" width="27.109375" customWidth="1"/>
    <col min="6914" max="6914" width="15" bestFit="1" customWidth="1"/>
    <col min="6915" max="6915" width="3" bestFit="1" customWidth="1"/>
    <col min="6916" max="6916" width="18.6640625" bestFit="1" customWidth="1"/>
    <col min="7169" max="7169" width="27.109375" customWidth="1"/>
    <col min="7170" max="7170" width="15" bestFit="1" customWidth="1"/>
    <col min="7171" max="7171" width="3" bestFit="1" customWidth="1"/>
    <col min="7172" max="7172" width="18.6640625" bestFit="1" customWidth="1"/>
    <col min="7425" max="7425" width="27.109375" customWidth="1"/>
    <col min="7426" max="7426" width="15" bestFit="1" customWidth="1"/>
    <col min="7427" max="7427" width="3" bestFit="1" customWidth="1"/>
    <col min="7428" max="7428" width="18.6640625" bestFit="1" customWidth="1"/>
    <col min="7681" max="7681" width="27.109375" customWidth="1"/>
    <col min="7682" max="7682" width="15" bestFit="1" customWidth="1"/>
    <col min="7683" max="7683" width="3" bestFit="1" customWidth="1"/>
    <col min="7684" max="7684" width="18.6640625" bestFit="1" customWidth="1"/>
    <col min="7937" max="7937" width="27.109375" customWidth="1"/>
    <col min="7938" max="7938" width="15" bestFit="1" customWidth="1"/>
    <col min="7939" max="7939" width="3" bestFit="1" customWidth="1"/>
    <col min="7940" max="7940" width="18.6640625" bestFit="1" customWidth="1"/>
    <col min="8193" max="8193" width="27.109375" customWidth="1"/>
    <col min="8194" max="8194" width="15" bestFit="1" customWidth="1"/>
    <col min="8195" max="8195" width="3" bestFit="1" customWidth="1"/>
    <col min="8196" max="8196" width="18.6640625" bestFit="1" customWidth="1"/>
    <col min="8449" max="8449" width="27.109375" customWidth="1"/>
    <col min="8450" max="8450" width="15" bestFit="1" customWidth="1"/>
    <col min="8451" max="8451" width="3" bestFit="1" customWidth="1"/>
    <col min="8452" max="8452" width="18.6640625" bestFit="1" customWidth="1"/>
    <col min="8705" max="8705" width="27.109375" customWidth="1"/>
    <col min="8706" max="8706" width="15" bestFit="1" customWidth="1"/>
    <col min="8707" max="8707" width="3" bestFit="1" customWidth="1"/>
    <col min="8708" max="8708" width="18.6640625" bestFit="1" customWidth="1"/>
    <col min="8961" max="8961" width="27.109375" customWidth="1"/>
    <col min="8962" max="8962" width="15" bestFit="1" customWidth="1"/>
    <col min="8963" max="8963" width="3" bestFit="1" customWidth="1"/>
    <col min="8964" max="8964" width="18.6640625" bestFit="1" customWidth="1"/>
    <col min="9217" max="9217" width="27.109375" customWidth="1"/>
    <col min="9218" max="9218" width="15" bestFit="1" customWidth="1"/>
    <col min="9219" max="9219" width="3" bestFit="1" customWidth="1"/>
    <col min="9220" max="9220" width="18.6640625" bestFit="1" customWidth="1"/>
    <col min="9473" max="9473" width="27.109375" customWidth="1"/>
    <col min="9474" max="9474" width="15" bestFit="1" customWidth="1"/>
    <col min="9475" max="9475" width="3" bestFit="1" customWidth="1"/>
    <col min="9476" max="9476" width="18.6640625" bestFit="1" customWidth="1"/>
    <col min="9729" max="9729" width="27.109375" customWidth="1"/>
    <col min="9730" max="9730" width="15" bestFit="1" customWidth="1"/>
    <col min="9731" max="9731" width="3" bestFit="1" customWidth="1"/>
    <col min="9732" max="9732" width="18.6640625" bestFit="1" customWidth="1"/>
    <col min="9985" max="9985" width="27.109375" customWidth="1"/>
    <col min="9986" max="9986" width="15" bestFit="1" customWidth="1"/>
    <col min="9987" max="9987" width="3" bestFit="1" customWidth="1"/>
    <col min="9988" max="9988" width="18.6640625" bestFit="1" customWidth="1"/>
    <col min="10241" max="10241" width="27.109375" customWidth="1"/>
    <col min="10242" max="10242" width="15" bestFit="1" customWidth="1"/>
    <col min="10243" max="10243" width="3" bestFit="1" customWidth="1"/>
    <col min="10244" max="10244" width="18.6640625" bestFit="1" customWidth="1"/>
    <col min="10497" max="10497" width="27.109375" customWidth="1"/>
    <col min="10498" max="10498" width="15" bestFit="1" customWidth="1"/>
    <col min="10499" max="10499" width="3" bestFit="1" customWidth="1"/>
    <col min="10500" max="10500" width="18.6640625" bestFit="1" customWidth="1"/>
    <col min="10753" max="10753" width="27.109375" customWidth="1"/>
    <col min="10754" max="10754" width="15" bestFit="1" customWidth="1"/>
    <col min="10755" max="10755" width="3" bestFit="1" customWidth="1"/>
    <col min="10756" max="10756" width="18.6640625" bestFit="1" customWidth="1"/>
    <col min="11009" max="11009" width="27.109375" customWidth="1"/>
    <col min="11010" max="11010" width="15" bestFit="1" customWidth="1"/>
    <col min="11011" max="11011" width="3" bestFit="1" customWidth="1"/>
    <col min="11012" max="11012" width="18.6640625" bestFit="1" customWidth="1"/>
    <col min="11265" max="11265" width="27.109375" customWidth="1"/>
    <col min="11266" max="11266" width="15" bestFit="1" customWidth="1"/>
    <col min="11267" max="11267" width="3" bestFit="1" customWidth="1"/>
    <col min="11268" max="11268" width="18.6640625" bestFit="1" customWidth="1"/>
    <col min="11521" max="11521" width="27.109375" customWidth="1"/>
    <col min="11522" max="11522" width="15" bestFit="1" customWidth="1"/>
    <col min="11523" max="11523" width="3" bestFit="1" customWidth="1"/>
    <col min="11524" max="11524" width="18.6640625" bestFit="1" customWidth="1"/>
    <col min="11777" max="11777" width="27.109375" customWidth="1"/>
    <col min="11778" max="11778" width="15" bestFit="1" customWidth="1"/>
    <col min="11779" max="11779" width="3" bestFit="1" customWidth="1"/>
    <col min="11780" max="11780" width="18.6640625" bestFit="1" customWidth="1"/>
    <col min="12033" max="12033" width="27.109375" customWidth="1"/>
    <col min="12034" max="12034" width="15" bestFit="1" customWidth="1"/>
    <col min="12035" max="12035" width="3" bestFit="1" customWidth="1"/>
    <col min="12036" max="12036" width="18.6640625" bestFit="1" customWidth="1"/>
    <col min="12289" max="12289" width="27.109375" customWidth="1"/>
    <col min="12290" max="12290" width="15" bestFit="1" customWidth="1"/>
    <col min="12291" max="12291" width="3" bestFit="1" customWidth="1"/>
    <col min="12292" max="12292" width="18.6640625" bestFit="1" customWidth="1"/>
    <col min="12545" max="12545" width="27.109375" customWidth="1"/>
    <col min="12546" max="12546" width="15" bestFit="1" customWidth="1"/>
    <col min="12547" max="12547" width="3" bestFit="1" customWidth="1"/>
    <col min="12548" max="12548" width="18.6640625" bestFit="1" customWidth="1"/>
    <col min="12801" max="12801" width="27.109375" customWidth="1"/>
    <col min="12802" max="12802" width="15" bestFit="1" customWidth="1"/>
    <col min="12803" max="12803" width="3" bestFit="1" customWidth="1"/>
    <col min="12804" max="12804" width="18.6640625" bestFit="1" customWidth="1"/>
    <col min="13057" max="13057" width="27.109375" customWidth="1"/>
    <col min="13058" max="13058" width="15" bestFit="1" customWidth="1"/>
    <col min="13059" max="13059" width="3" bestFit="1" customWidth="1"/>
    <col min="13060" max="13060" width="18.6640625" bestFit="1" customWidth="1"/>
    <col min="13313" max="13313" width="27.109375" customWidth="1"/>
    <col min="13314" max="13314" width="15" bestFit="1" customWidth="1"/>
    <col min="13315" max="13315" width="3" bestFit="1" customWidth="1"/>
    <col min="13316" max="13316" width="18.6640625" bestFit="1" customWidth="1"/>
    <col min="13569" max="13569" width="27.109375" customWidth="1"/>
    <col min="13570" max="13570" width="15" bestFit="1" customWidth="1"/>
    <col min="13571" max="13571" width="3" bestFit="1" customWidth="1"/>
    <col min="13572" max="13572" width="18.6640625" bestFit="1" customWidth="1"/>
    <col min="13825" max="13825" width="27.109375" customWidth="1"/>
    <col min="13826" max="13826" width="15" bestFit="1" customWidth="1"/>
    <col min="13827" max="13827" width="3" bestFit="1" customWidth="1"/>
    <col min="13828" max="13828" width="18.6640625" bestFit="1" customWidth="1"/>
    <col min="14081" max="14081" width="27.109375" customWidth="1"/>
    <col min="14082" max="14082" width="15" bestFit="1" customWidth="1"/>
    <col min="14083" max="14083" width="3" bestFit="1" customWidth="1"/>
    <col min="14084" max="14084" width="18.6640625" bestFit="1" customWidth="1"/>
    <col min="14337" max="14337" width="27.109375" customWidth="1"/>
    <col min="14338" max="14338" width="15" bestFit="1" customWidth="1"/>
    <col min="14339" max="14339" width="3" bestFit="1" customWidth="1"/>
    <col min="14340" max="14340" width="18.6640625" bestFit="1" customWidth="1"/>
    <col min="14593" max="14593" width="27.109375" customWidth="1"/>
    <col min="14594" max="14594" width="15" bestFit="1" customWidth="1"/>
    <col min="14595" max="14595" width="3" bestFit="1" customWidth="1"/>
    <col min="14596" max="14596" width="18.6640625" bestFit="1" customWidth="1"/>
    <col min="14849" max="14849" width="27.109375" customWidth="1"/>
    <col min="14850" max="14850" width="15" bestFit="1" customWidth="1"/>
    <col min="14851" max="14851" width="3" bestFit="1" customWidth="1"/>
    <col min="14852" max="14852" width="18.6640625" bestFit="1" customWidth="1"/>
    <col min="15105" max="15105" width="27.109375" customWidth="1"/>
    <col min="15106" max="15106" width="15" bestFit="1" customWidth="1"/>
    <col min="15107" max="15107" width="3" bestFit="1" customWidth="1"/>
    <col min="15108" max="15108" width="18.6640625" bestFit="1" customWidth="1"/>
    <col min="15361" max="15361" width="27.109375" customWidth="1"/>
    <col min="15362" max="15362" width="15" bestFit="1" customWidth="1"/>
    <col min="15363" max="15363" width="3" bestFit="1" customWidth="1"/>
    <col min="15364" max="15364" width="18.6640625" bestFit="1" customWidth="1"/>
    <col min="15617" max="15617" width="27.109375" customWidth="1"/>
    <col min="15618" max="15618" width="15" bestFit="1" customWidth="1"/>
    <col min="15619" max="15619" width="3" bestFit="1" customWidth="1"/>
    <col min="15620" max="15620" width="18.6640625" bestFit="1" customWidth="1"/>
    <col min="15873" max="15873" width="27.109375" customWidth="1"/>
    <col min="15874" max="15874" width="15" bestFit="1" customWidth="1"/>
    <col min="15875" max="15875" width="3" bestFit="1" customWidth="1"/>
    <col min="15876" max="15876" width="18.6640625" bestFit="1" customWidth="1"/>
    <col min="16129" max="16129" width="27.109375" customWidth="1"/>
    <col min="16130" max="16130" width="15" bestFit="1" customWidth="1"/>
    <col min="16131" max="16131" width="3" bestFit="1" customWidth="1"/>
    <col min="16132" max="16132" width="18.6640625" bestFit="1" customWidth="1"/>
  </cols>
  <sheetData>
    <row r="1" spans="1:8" ht="43.2" x14ac:dyDescent="0.3">
      <c r="A1" s="34" t="str">
        <f>"If your investment plan requires that you deposit "&amp;DOLLAR(B5)&amp;" at the end of each period for the next "&amp;B4&amp;" years and you can earn "&amp;TEXT(B2,"0.00%")&amp;" compounded "&amp;B3&amp;" time a year, what is the Future Value?"</f>
        <v>If your investment plan requires that you deposit $100.00 at the end of each period for the next 40 years and you can earn 12.00% compounded 12 time a year, what is the Future Value?</v>
      </c>
      <c r="B1" s="34"/>
      <c r="C1" s="34"/>
      <c r="D1" s="34"/>
    </row>
    <row r="2" spans="1:8" x14ac:dyDescent="0.3">
      <c r="A2" s="8" t="s">
        <v>57</v>
      </c>
      <c r="B2" s="1">
        <v>0.12</v>
      </c>
    </row>
    <row r="3" spans="1:8" x14ac:dyDescent="0.3">
      <c r="A3" s="8" t="s">
        <v>39</v>
      </c>
      <c r="B3" s="1">
        <v>12</v>
      </c>
    </row>
    <row r="4" spans="1:8" x14ac:dyDescent="0.3">
      <c r="A4" s="8" t="s">
        <v>77</v>
      </c>
      <c r="B4" s="1">
        <v>40</v>
      </c>
    </row>
    <row r="5" spans="1:8" ht="28.8" x14ac:dyDescent="0.3">
      <c r="A5" s="8" t="s">
        <v>78</v>
      </c>
      <c r="B5" s="1">
        <v>100</v>
      </c>
    </row>
    <row r="6" spans="1:8" ht="28.8" x14ac:dyDescent="0.3">
      <c r="A6" s="8" t="s">
        <v>244</v>
      </c>
      <c r="B6" s="3"/>
    </row>
    <row r="7" spans="1:8" x14ac:dyDescent="0.3">
      <c r="A7" s="10"/>
    </row>
    <row r="8" spans="1:8" ht="28.8" x14ac:dyDescent="0.3">
      <c r="A8" s="56" t="s">
        <v>308</v>
      </c>
      <c r="B8" s="57">
        <f>B5*((1+B2/B3)^(B3*B4)-1)/(B2/B3)</f>
        <v>1176477.2510251577</v>
      </c>
    </row>
    <row r="9" spans="1:8" x14ac:dyDescent="0.3">
      <c r="A9" s="8" t="s">
        <v>245</v>
      </c>
      <c r="B9" s="30">
        <f>FV(B2/B3,B4*B3,-B5)</f>
        <v>1176477.2510251577</v>
      </c>
    </row>
    <row r="11" spans="1:8" x14ac:dyDescent="0.3">
      <c r="A11" s="56" t="s">
        <v>80</v>
      </c>
      <c r="B11" s="57">
        <f>B5*B4*B3</f>
        <v>48000</v>
      </c>
    </row>
    <row r="12" spans="1:8" x14ac:dyDescent="0.3">
      <c r="A12" s="56" t="s">
        <v>81</v>
      </c>
      <c r="B12" s="30">
        <f>B9-B11</f>
        <v>1128477.2510251577</v>
      </c>
    </row>
    <row r="14" spans="1:8" ht="43.2" x14ac:dyDescent="0.3">
      <c r="A14" t="s">
        <v>82</v>
      </c>
      <c r="B14" s="58" t="str">
        <f>IF(B9="","","If your investment plan requires that you deposit "&amp;DOLLAR(B5)&amp;" at the end of each period for the next "&amp;B4&amp;" years and you can earn "&amp;TEXT(B2,"0.00%")&amp;" compounded "&amp;B3&amp;" time a year, your Future Value would be "&amp;DOLLAR(FV(B2/B3,B3*B4,-B5,,B6))&amp;".")</f>
        <v>If your investment plan requires that you deposit $100.00 at the end of each period for the next 40 years and you can earn 12.00% compounded 12 time a year, your Future Value would be $1,176,477.25.</v>
      </c>
      <c r="C14" s="59"/>
      <c r="D14" s="59"/>
      <c r="E14" s="59"/>
      <c r="F14" s="59"/>
      <c r="G14" s="59"/>
      <c r="H14" s="60"/>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15"/>
  <sheetViews>
    <sheetView zoomScaleNormal="100" workbookViewId="0">
      <selection activeCell="A8" sqref="A8"/>
    </sheetView>
  </sheetViews>
  <sheetFormatPr defaultRowHeight="14.4" x14ac:dyDescent="0.3"/>
  <cols>
    <col min="1" max="1" width="27.109375" customWidth="1"/>
    <col min="2" max="2" width="15" bestFit="1" customWidth="1"/>
    <col min="3" max="3" width="3" bestFit="1" customWidth="1"/>
    <col min="4" max="4" width="18.6640625" bestFit="1" customWidth="1"/>
    <col min="257" max="257" width="27.109375" customWidth="1"/>
    <col min="258" max="258" width="15" bestFit="1" customWidth="1"/>
    <col min="259" max="259" width="3" bestFit="1" customWidth="1"/>
    <col min="260" max="260" width="18.6640625" bestFit="1" customWidth="1"/>
    <col min="513" max="513" width="27.109375" customWidth="1"/>
    <col min="514" max="514" width="15" bestFit="1" customWidth="1"/>
    <col min="515" max="515" width="3" bestFit="1" customWidth="1"/>
    <col min="516" max="516" width="18.6640625" bestFit="1" customWidth="1"/>
    <col min="769" max="769" width="27.109375" customWidth="1"/>
    <col min="770" max="770" width="15" bestFit="1" customWidth="1"/>
    <col min="771" max="771" width="3" bestFit="1" customWidth="1"/>
    <col min="772" max="772" width="18.6640625" bestFit="1" customWidth="1"/>
    <col min="1025" max="1025" width="27.109375" customWidth="1"/>
    <col min="1026" max="1026" width="15" bestFit="1" customWidth="1"/>
    <col min="1027" max="1027" width="3" bestFit="1" customWidth="1"/>
    <col min="1028" max="1028" width="18.6640625" bestFit="1" customWidth="1"/>
    <col min="1281" max="1281" width="27.109375" customWidth="1"/>
    <col min="1282" max="1282" width="15" bestFit="1" customWidth="1"/>
    <col min="1283" max="1283" width="3" bestFit="1" customWidth="1"/>
    <col min="1284" max="1284" width="18.6640625" bestFit="1" customWidth="1"/>
    <col min="1537" max="1537" width="27.109375" customWidth="1"/>
    <col min="1538" max="1538" width="15" bestFit="1" customWidth="1"/>
    <col min="1539" max="1539" width="3" bestFit="1" customWidth="1"/>
    <col min="1540" max="1540" width="18.6640625" bestFit="1" customWidth="1"/>
    <col min="1793" max="1793" width="27.109375" customWidth="1"/>
    <col min="1794" max="1794" width="15" bestFit="1" customWidth="1"/>
    <col min="1795" max="1795" width="3" bestFit="1" customWidth="1"/>
    <col min="1796" max="1796" width="18.6640625" bestFit="1" customWidth="1"/>
    <col min="2049" max="2049" width="27.109375" customWidth="1"/>
    <col min="2050" max="2050" width="15" bestFit="1" customWidth="1"/>
    <col min="2051" max="2051" width="3" bestFit="1" customWidth="1"/>
    <col min="2052" max="2052" width="18.6640625" bestFit="1" customWidth="1"/>
    <col min="2305" max="2305" width="27.109375" customWidth="1"/>
    <col min="2306" max="2306" width="15" bestFit="1" customWidth="1"/>
    <col min="2307" max="2307" width="3" bestFit="1" customWidth="1"/>
    <col min="2308" max="2308" width="18.6640625" bestFit="1" customWidth="1"/>
    <col min="2561" max="2561" width="27.109375" customWidth="1"/>
    <col min="2562" max="2562" width="15" bestFit="1" customWidth="1"/>
    <col min="2563" max="2563" width="3" bestFit="1" customWidth="1"/>
    <col min="2564" max="2564" width="18.6640625" bestFit="1" customWidth="1"/>
    <col min="2817" max="2817" width="27.109375" customWidth="1"/>
    <col min="2818" max="2818" width="15" bestFit="1" customWidth="1"/>
    <col min="2819" max="2819" width="3" bestFit="1" customWidth="1"/>
    <col min="2820" max="2820" width="18.6640625" bestFit="1" customWidth="1"/>
    <col min="3073" max="3073" width="27.109375" customWidth="1"/>
    <col min="3074" max="3074" width="15" bestFit="1" customWidth="1"/>
    <col min="3075" max="3075" width="3" bestFit="1" customWidth="1"/>
    <col min="3076" max="3076" width="18.6640625" bestFit="1" customWidth="1"/>
    <col min="3329" max="3329" width="27.109375" customWidth="1"/>
    <col min="3330" max="3330" width="15" bestFit="1" customWidth="1"/>
    <col min="3331" max="3331" width="3" bestFit="1" customWidth="1"/>
    <col min="3332" max="3332" width="18.6640625" bestFit="1" customWidth="1"/>
    <col min="3585" max="3585" width="27.109375" customWidth="1"/>
    <col min="3586" max="3586" width="15" bestFit="1" customWidth="1"/>
    <col min="3587" max="3587" width="3" bestFit="1" customWidth="1"/>
    <col min="3588" max="3588" width="18.6640625" bestFit="1" customWidth="1"/>
    <col min="3841" max="3841" width="27.109375" customWidth="1"/>
    <col min="3842" max="3842" width="15" bestFit="1" customWidth="1"/>
    <col min="3843" max="3843" width="3" bestFit="1" customWidth="1"/>
    <col min="3844" max="3844" width="18.6640625" bestFit="1" customWidth="1"/>
    <col min="4097" max="4097" width="27.109375" customWidth="1"/>
    <col min="4098" max="4098" width="15" bestFit="1" customWidth="1"/>
    <col min="4099" max="4099" width="3" bestFit="1" customWidth="1"/>
    <col min="4100" max="4100" width="18.6640625" bestFit="1" customWidth="1"/>
    <col min="4353" max="4353" width="27.109375" customWidth="1"/>
    <col min="4354" max="4354" width="15" bestFit="1" customWidth="1"/>
    <col min="4355" max="4355" width="3" bestFit="1" customWidth="1"/>
    <col min="4356" max="4356" width="18.6640625" bestFit="1" customWidth="1"/>
    <col min="4609" max="4609" width="27.109375" customWidth="1"/>
    <col min="4610" max="4610" width="15" bestFit="1" customWidth="1"/>
    <col min="4611" max="4611" width="3" bestFit="1" customWidth="1"/>
    <col min="4612" max="4612" width="18.6640625" bestFit="1" customWidth="1"/>
    <col min="4865" max="4865" width="27.109375" customWidth="1"/>
    <col min="4866" max="4866" width="15" bestFit="1" customWidth="1"/>
    <col min="4867" max="4867" width="3" bestFit="1" customWidth="1"/>
    <col min="4868" max="4868" width="18.6640625" bestFit="1" customWidth="1"/>
    <col min="5121" max="5121" width="27.109375" customWidth="1"/>
    <col min="5122" max="5122" width="15" bestFit="1" customWidth="1"/>
    <col min="5123" max="5123" width="3" bestFit="1" customWidth="1"/>
    <col min="5124" max="5124" width="18.6640625" bestFit="1" customWidth="1"/>
    <col min="5377" max="5377" width="27.109375" customWidth="1"/>
    <col min="5378" max="5378" width="15" bestFit="1" customWidth="1"/>
    <col min="5379" max="5379" width="3" bestFit="1" customWidth="1"/>
    <col min="5380" max="5380" width="18.6640625" bestFit="1" customWidth="1"/>
    <col min="5633" max="5633" width="27.109375" customWidth="1"/>
    <col min="5634" max="5634" width="15" bestFit="1" customWidth="1"/>
    <col min="5635" max="5635" width="3" bestFit="1" customWidth="1"/>
    <col min="5636" max="5636" width="18.6640625" bestFit="1" customWidth="1"/>
    <col min="5889" max="5889" width="27.109375" customWidth="1"/>
    <col min="5890" max="5890" width="15" bestFit="1" customWidth="1"/>
    <col min="5891" max="5891" width="3" bestFit="1" customWidth="1"/>
    <col min="5892" max="5892" width="18.6640625" bestFit="1" customWidth="1"/>
    <col min="6145" max="6145" width="27.109375" customWidth="1"/>
    <col min="6146" max="6146" width="15" bestFit="1" customWidth="1"/>
    <col min="6147" max="6147" width="3" bestFit="1" customWidth="1"/>
    <col min="6148" max="6148" width="18.6640625" bestFit="1" customWidth="1"/>
    <col min="6401" max="6401" width="27.109375" customWidth="1"/>
    <col min="6402" max="6402" width="15" bestFit="1" customWidth="1"/>
    <col min="6403" max="6403" width="3" bestFit="1" customWidth="1"/>
    <col min="6404" max="6404" width="18.6640625" bestFit="1" customWidth="1"/>
    <col min="6657" max="6657" width="27.109375" customWidth="1"/>
    <col min="6658" max="6658" width="15" bestFit="1" customWidth="1"/>
    <col min="6659" max="6659" width="3" bestFit="1" customWidth="1"/>
    <col min="6660" max="6660" width="18.6640625" bestFit="1" customWidth="1"/>
    <col min="6913" max="6913" width="27.109375" customWidth="1"/>
    <col min="6914" max="6914" width="15" bestFit="1" customWidth="1"/>
    <col min="6915" max="6915" width="3" bestFit="1" customWidth="1"/>
    <col min="6916" max="6916" width="18.6640625" bestFit="1" customWidth="1"/>
    <col min="7169" max="7169" width="27.109375" customWidth="1"/>
    <col min="7170" max="7170" width="15" bestFit="1" customWidth="1"/>
    <col min="7171" max="7171" width="3" bestFit="1" customWidth="1"/>
    <col min="7172" max="7172" width="18.6640625" bestFit="1" customWidth="1"/>
    <col min="7425" max="7425" width="27.109375" customWidth="1"/>
    <col min="7426" max="7426" width="15" bestFit="1" customWidth="1"/>
    <col min="7427" max="7427" width="3" bestFit="1" customWidth="1"/>
    <col min="7428" max="7428" width="18.6640625" bestFit="1" customWidth="1"/>
    <col min="7681" max="7681" width="27.109375" customWidth="1"/>
    <col min="7682" max="7682" width="15" bestFit="1" customWidth="1"/>
    <col min="7683" max="7683" width="3" bestFit="1" customWidth="1"/>
    <col min="7684" max="7684" width="18.6640625" bestFit="1" customWidth="1"/>
    <col min="7937" max="7937" width="27.109375" customWidth="1"/>
    <col min="7938" max="7938" width="15" bestFit="1" customWidth="1"/>
    <col min="7939" max="7939" width="3" bestFit="1" customWidth="1"/>
    <col min="7940" max="7940" width="18.6640625" bestFit="1" customWidth="1"/>
    <col min="8193" max="8193" width="27.109375" customWidth="1"/>
    <col min="8194" max="8194" width="15" bestFit="1" customWidth="1"/>
    <col min="8195" max="8195" width="3" bestFit="1" customWidth="1"/>
    <col min="8196" max="8196" width="18.6640625" bestFit="1" customWidth="1"/>
    <col min="8449" max="8449" width="27.109375" customWidth="1"/>
    <col min="8450" max="8450" width="15" bestFit="1" customWidth="1"/>
    <col min="8451" max="8451" width="3" bestFit="1" customWidth="1"/>
    <col min="8452" max="8452" width="18.6640625" bestFit="1" customWidth="1"/>
    <col min="8705" max="8705" width="27.109375" customWidth="1"/>
    <col min="8706" max="8706" width="15" bestFit="1" customWidth="1"/>
    <col min="8707" max="8707" width="3" bestFit="1" customWidth="1"/>
    <col min="8708" max="8708" width="18.6640625" bestFit="1" customWidth="1"/>
    <col min="8961" max="8961" width="27.109375" customWidth="1"/>
    <col min="8962" max="8962" width="15" bestFit="1" customWidth="1"/>
    <col min="8963" max="8963" width="3" bestFit="1" customWidth="1"/>
    <col min="8964" max="8964" width="18.6640625" bestFit="1" customWidth="1"/>
    <col min="9217" max="9217" width="27.109375" customWidth="1"/>
    <col min="9218" max="9218" width="15" bestFit="1" customWidth="1"/>
    <col min="9219" max="9219" width="3" bestFit="1" customWidth="1"/>
    <col min="9220" max="9220" width="18.6640625" bestFit="1" customWidth="1"/>
    <col min="9473" max="9473" width="27.109375" customWidth="1"/>
    <col min="9474" max="9474" width="15" bestFit="1" customWidth="1"/>
    <col min="9475" max="9475" width="3" bestFit="1" customWidth="1"/>
    <col min="9476" max="9476" width="18.6640625" bestFit="1" customWidth="1"/>
    <col min="9729" max="9729" width="27.109375" customWidth="1"/>
    <col min="9730" max="9730" width="15" bestFit="1" customWidth="1"/>
    <col min="9731" max="9731" width="3" bestFit="1" customWidth="1"/>
    <col min="9732" max="9732" width="18.6640625" bestFit="1" customWidth="1"/>
    <col min="9985" max="9985" width="27.109375" customWidth="1"/>
    <col min="9986" max="9986" width="15" bestFit="1" customWidth="1"/>
    <col min="9987" max="9987" width="3" bestFit="1" customWidth="1"/>
    <col min="9988" max="9988" width="18.6640625" bestFit="1" customWidth="1"/>
    <col min="10241" max="10241" width="27.109375" customWidth="1"/>
    <col min="10242" max="10242" width="15" bestFit="1" customWidth="1"/>
    <col min="10243" max="10243" width="3" bestFit="1" customWidth="1"/>
    <col min="10244" max="10244" width="18.6640625" bestFit="1" customWidth="1"/>
    <col min="10497" max="10497" width="27.109375" customWidth="1"/>
    <col min="10498" max="10498" width="15" bestFit="1" customWidth="1"/>
    <col min="10499" max="10499" width="3" bestFit="1" customWidth="1"/>
    <col min="10500" max="10500" width="18.6640625" bestFit="1" customWidth="1"/>
    <col min="10753" max="10753" width="27.109375" customWidth="1"/>
    <col min="10754" max="10754" width="15" bestFit="1" customWidth="1"/>
    <col min="10755" max="10755" width="3" bestFit="1" customWidth="1"/>
    <col min="10756" max="10756" width="18.6640625" bestFit="1" customWidth="1"/>
    <col min="11009" max="11009" width="27.109375" customWidth="1"/>
    <col min="11010" max="11010" width="15" bestFit="1" customWidth="1"/>
    <col min="11011" max="11011" width="3" bestFit="1" customWidth="1"/>
    <col min="11012" max="11012" width="18.6640625" bestFit="1" customWidth="1"/>
    <col min="11265" max="11265" width="27.109375" customWidth="1"/>
    <col min="11266" max="11266" width="15" bestFit="1" customWidth="1"/>
    <col min="11267" max="11267" width="3" bestFit="1" customWidth="1"/>
    <col min="11268" max="11268" width="18.6640625" bestFit="1" customWidth="1"/>
    <col min="11521" max="11521" width="27.109375" customWidth="1"/>
    <col min="11522" max="11522" width="15" bestFit="1" customWidth="1"/>
    <col min="11523" max="11523" width="3" bestFit="1" customWidth="1"/>
    <col min="11524" max="11524" width="18.6640625" bestFit="1" customWidth="1"/>
    <col min="11777" max="11777" width="27.109375" customWidth="1"/>
    <col min="11778" max="11778" width="15" bestFit="1" customWidth="1"/>
    <col min="11779" max="11779" width="3" bestFit="1" customWidth="1"/>
    <col min="11780" max="11780" width="18.6640625" bestFit="1" customWidth="1"/>
    <col min="12033" max="12033" width="27.109375" customWidth="1"/>
    <col min="12034" max="12034" width="15" bestFit="1" customWidth="1"/>
    <col min="12035" max="12035" width="3" bestFit="1" customWidth="1"/>
    <col min="12036" max="12036" width="18.6640625" bestFit="1" customWidth="1"/>
    <col min="12289" max="12289" width="27.109375" customWidth="1"/>
    <col min="12290" max="12290" width="15" bestFit="1" customWidth="1"/>
    <col min="12291" max="12291" width="3" bestFit="1" customWidth="1"/>
    <col min="12292" max="12292" width="18.6640625" bestFit="1" customWidth="1"/>
    <col min="12545" max="12545" width="27.109375" customWidth="1"/>
    <col min="12546" max="12546" width="15" bestFit="1" customWidth="1"/>
    <col min="12547" max="12547" width="3" bestFit="1" customWidth="1"/>
    <col min="12548" max="12548" width="18.6640625" bestFit="1" customWidth="1"/>
    <col min="12801" max="12801" width="27.109375" customWidth="1"/>
    <col min="12802" max="12802" width="15" bestFit="1" customWidth="1"/>
    <col min="12803" max="12803" width="3" bestFit="1" customWidth="1"/>
    <col min="12804" max="12804" width="18.6640625" bestFit="1" customWidth="1"/>
    <col min="13057" max="13057" width="27.109375" customWidth="1"/>
    <col min="13058" max="13058" width="15" bestFit="1" customWidth="1"/>
    <col min="13059" max="13059" width="3" bestFit="1" customWidth="1"/>
    <col min="13060" max="13060" width="18.6640625" bestFit="1" customWidth="1"/>
    <col min="13313" max="13313" width="27.109375" customWidth="1"/>
    <col min="13314" max="13314" width="15" bestFit="1" customWidth="1"/>
    <col min="13315" max="13315" width="3" bestFit="1" customWidth="1"/>
    <col min="13316" max="13316" width="18.6640625" bestFit="1" customWidth="1"/>
    <col min="13569" max="13569" width="27.109375" customWidth="1"/>
    <col min="13570" max="13570" width="15" bestFit="1" customWidth="1"/>
    <col min="13571" max="13571" width="3" bestFit="1" customWidth="1"/>
    <col min="13572" max="13572" width="18.6640625" bestFit="1" customWidth="1"/>
    <col min="13825" max="13825" width="27.109375" customWidth="1"/>
    <col min="13826" max="13826" width="15" bestFit="1" customWidth="1"/>
    <col min="13827" max="13827" width="3" bestFit="1" customWidth="1"/>
    <col min="13828" max="13828" width="18.6640625" bestFit="1" customWidth="1"/>
    <col min="14081" max="14081" width="27.109375" customWidth="1"/>
    <col min="14082" max="14082" width="15" bestFit="1" customWidth="1"/>
    <col min="14083" max="14083" width="3" bestFit="1" customWidth="1"/>
    <col min="14084" max="14084" width="18.6640625" bestFit="1" customWidth="1"/>
    <col min="14337" max="14337" width="27.109375" customWidth="1"/>
    <col min="14338" max="14338" width="15" bestFit="1" customWidth="1"/>
    <col min="14339" max="14339" width="3" bestFit="1" customWidth="1"/>
    <col min="14340" max="14340" width="18.6640625" bestFit="1" customWidth="1"/>
    <col min="14593" max="14593" width="27.109375" customWidth="1"/>
    <col min="14594" max="14594" width="15" bestFit="1" customWidth="1"/>
    <col min="14595" max="14595" width="3" bestFit="1" customWidth="1"/>
    <col min="14596" max="14596" width="18.6640625" bestFit="1" customWidth="1"/>
    <col min="14849" max="14849" width="27.109375" customWidth="1"/>
    <col min="14850" max="14850" width="15" bestFit="1" customWidth="1"/>
    <col min="14851" max="14851" width="3" bestFit="1" customWidth="1"/>
    <col min="14852" max="14852" width="18.6640625" bestFit="1" customWidth="1"/>
    <col min="15105" max="15105" width="27.109375" customWidth="1"/>
    <col min="15106" max="15106" width="15" bestFit="1" customWidth="1"/>
    <col min="15107" max="15107" width="3" bestFit="1" customWidth="1"/>
    <col min="15108" max="15108" width="18.6640625" bestFit="1" customWidth="1"/>
    <col min="15361" max="15361" width="27.109375" customWidth="1"/>
    <col min="15362" max="15362" width="15" bestFit="1" customWidth="1"/>
    <col min="15363" max="15363" width="3" bestFit="1" customWidth="1"/>
    <col min="15364" max="15364" width="18.6640625" bestFit="1" customWidth="1"/>
    <col min="15617" max="15617" width="27.109375" customWidth="1"/>
    <col min="15618" max="15618" width="15" bestFit="1" customWidth="1"/>
    <col min="15619" max="15619" width="3" bestFit="1" customWidth="1"/>
    <col min="15620" max="15620" width="18.6640625" bestFit="1" customWidth="1"/>
    <col min="15873" max="15873" width="27.109375" customWidth="1"/>
    <col min="15874" max="15874" width="15" bestFit="1" customWidth="1"/>
    <col min="15875" max="15875" width="3" bestFit="1" customWidth="1"/>
    <col min="15876" max="15876" width="18.6640625" bestFit="1" customWidth="1"/>
    <col min="16129" max="16129" width="27.109375" customWidth="1"/>
    <col min="16130" max="16130" width="15" bestFit="1" customWidth="1"/>
    <col min="16131" max="16131" width="3" bestFit="1" customWidth="1"/>
    <col min="16132" max="16132" width="18.6640625" bestFit="1" customWidth="1"/>
  </cols>
  <sheetData>
    <row r="1" spans="1:8" ht="43.2" x14ac:dyDescent="0.3">
      <c r="A1" s="34" t="str">
        <f>"If your investment plan requires that you deposit "&amp;DOLLAR(B5)&amp;" at the beginning of each period for the next "&amp;B4&amp;" years and you can earn "&amp;TEXT(B2,"0.00%")&amp;" compounded "&amp;B3&amp;" time a year, what is the Future Value?"</f>
        <v>If your investment plan requires that you deposit $100.00 at the beginning of each period for the next 40 years and you can earn 12.00% compounded 12 time a year, what is the Future Value?</v>
      </c>
      <c r="B1" s="34"/>
      <c r="C1" s="34"/>
      <c r="D1" s="34"/>
    </row>
    <row r="2" spans="1:8" x14ac:dyDescent="0.3">
      <c r="A2" s="8" t="s">
        <v>57</v>
      </c>
      <c r="B2" s="1">
        <v>0.12</v>
      </c>
    </row>
    <row r="3" spans="1:8" x14ac:dyDescent="0.3">
      <c r="A3" s="8" t="s">
        <v>39</v>
      </c>
      <c r="B3" s="1">
        <v>12</v>
      </c>
    </row>
    <row r="4" spans="1:8" x14ac:dyDescent="0.3">
      <c r="A4" s="8" t="s">
        <v>77</v>
      </c>
      <c r="B4" s="1">
        <v>40</v>
      </c>
    </row>
    <row r="5" spans="1:8" ht="28.95" x14ac:dyDescent="0.3">
      <c r="A5" s="8" t="s">
        <v>78</v>
      </c>
      <c r="B5" s="1">
        <v>100</v>
      </c>
    </row>
    <row r="6" spans="1:8" ht="45" x14ac:dyDescent="0.25">
      <c r="A6" s="8" t="s">
        <v>244</v>
      </c>
      <c r="B6" s="3"/>
    </row>
    <row r="7" spans="1:8" x14ac:dyDescent="0.3">
      <c r="A7" s="10"/>
    </row>
    <row r="8" spans="1:8" ht="28.8" x14ac:dyDescent="0.3">
      <c r="A8" s="56" t="s">
        <v>310</v>
      </c>
      <c r="B8" s="57"/>
    </row>
    <row r="9" spans="1:8" x14ac:dyDescent="0.3">
      <c r="A9" s="8" t="s">
        <v>79</v>
      </c>
      <c r="B9" s="30"/>
    </row>
    <row r="11" spans="1:8" x14ac:dyDescent="0.3">
      <c r="A11" s="56" t="s">
        <v>80</v>
      </c>
      <c r="B11" s="57"/>
    </row>
    <row r="12" spans="1:8" x14ac:dyDescent="0.3">
      <c r="A12" s="56" t="s">
        <v>81</v>
      </c>
      <c r="B12" s="30"/>
    </row>
    <row r="13" spans="1:8" ht="28.95" x14ac:dyDescent="0.3">
      <c r="A13" s="56" t="s">
        <v>83</v>
      </c>
      <c r="B13" s="30"/>
    </row>
    <row r="15" spans="1:8" ht="43.2" x14ac:dyDescent="0.3">
      <c r="A15" s="61" t="s">
        <v>82</v>
      </c>
      <c r="B15" s="58" t="str">
        <f>IF(B9="","","If your investment plan requires that you deposit "&amp;DOLLAR(B5)&amp;" at the beginning of each period for the next "&amp;B4&amp;" years and you can earn "&amp;TEXT(B2,"0.00%")&amp;" compounded "&amp;B3&amp;" time a year, your Future Value would be "&amp;DOLLAR(FV(B2/B3,B3*B4,-B5,,B6))&amp;".")</f>
        <v/>
      </c>
      <c r="C15" s="59"/>
      <c r="D15" s="59"/>
      <c r="E15" s="59"/>
      <c r="F15" s="59"/>
      <c r="G15" s="59"/>
      <c r="H15" s="6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5"/>
  <sheetViews>
    <sheetView zoomScaleNormal="100" workbookViewId="0">
      <selection activeCell="A8" sqref="A8"/>
    </sheetView>
  </sheetViews>
  <sheetFormatPr defaultRowHeight="14.4" x14ac:dyDescent="0.3"/>
  <cols>
    <col min="1" max="1" width="27.109375" customWidth="1"/>
    <col min="2" max="2" width="15" bestFit="1" customWidth="1"/>
    <col min="3" max="3" width="3" bestFit="1" customWidth="1"/>
    <col min="4" max="4" width="18.6640625" bestFit="1" customWidth="1"/>
    <col min="257" max="257" width="27.109375" customWidth="1"/>
    <col min="258" max="258" width="15" bestFit="1" customWidth="1"/>
    <col min="259" max="259" width="3" bestFit="1" customWidth="1"/>
    <col min="260" max="260" width="18.6640625" bestFit="1" customWidth="1"/>
    <col min="513" max="513" width="27.109375" customWidth="1"/>
    <col min="514" max="514" width="15" bestFit="1" customWidth="1"/>
    <col min="515" max="515" width="3" bestFit="1" customWidth="1"/>
    <col min="516" max="516" width="18.6640625" bestFit="1" customWidth="1"/>
    <col min="769" max="769" width="27.109375" customWidth="1"/>
    <col min="770" max="770" width="15" bestFit="1" customWidth="1"/>
    <col min="771" max="771" width="3" bestFit="1" customWidth="1"/>
    <col min="772" max="772" width="18.6640625" bestFit="1" customWidth="1"/>
    <col min="1025" max="1025" width="27.109375" customWidth="1"/>
    <col min="1026" max="1026" width="15" bestFit="1" customWidth="1"/>
    <col min="1027" max="1027" width="3" bestFit="1" customWidth="1"/>
    <col min="1028" max="1028" width="18.6640625" bestFit="1" customWidth="1"/>
    <col min="1281" max="1281" width="27.109375" customWidth="1"/>
    <col min="1282" max="1282" width="15" bestFit="1" customWidth="1"/>
    <col min="1283" max="1283" width="3" bestFit="1" customWidth="1"/>
    <col min="1284" max="1284" width="18.6640625" bestFit="1" customWidth="1"/>
    <col min="1537" max="1537" width="27.109375" customWidth="1"/>
    <col min="1538" max="1538" width="15" bestFit="1" customWidth="1"/>
    <col min="1539" max="1539" width="3" bestFit="1" customWidth="1"/>
    <col min="1540" max="1540" width="18.6640625" bestFit="1" customWidth="1"/>
    <col min="1793" max="1793" width="27.109375" customWidth="1"/>
    <col min="1794" max="1794" width="15" bestFit="1" customWidth="1"/>
    <col min="1795" max="1795" width="3" bestFit="1" customWidth="1"/>
    <col min="1796" max="1796" width="18.6640625" bestFit="1" customWidth="1"/>
    <col min="2049" max="2049" width="27.109375" customWidth="1"/>
    <col min="2050" max="2050" width="15" bestFit="1" customWidth="1"/>
    <col min="2051" max="2051" width="3" bestFit="1" customWidth="1"/>
    <col min="2052" max="2052" width="18.6640625" bestFit="1" customWidth="1"/>
    <col min="2305" max="2305" width="27.109375" customWidth="1"/>
    <col min="2306" max="2306" width="15" bestFit="1" customWidth="1"/>
    <col min="2307" max="2307" width="3" bestFit="1" customWidth="1"/>
    <col min="2308" max="2308" width="18.6640625" bestFit="1" customWidth="1"/>
    <col min="2561" max="2561" width="27.109375" customWidth="1"/>
    <col min="2562" max="2562" width="15" bestFit="1" customWidth="1"/>
    <col min="2563" max="2563" width="3" bestFit="1" customWidth="1"/>
    <col min="2564" max="2564" width="18.6640625" bestFit="1" customWidth="1"/>
    <col min="2817" max="2817" width="27.109375" customWidth="1"/>
    <col min="2818" max="2818" width="15" bestFit="1" customWidth="1"/>
    <col min="2819" max="2819" width="3" bestFit="1" customWidth="1"/>
    <col min="2820" max="2820" width="18.6640625" bestFit="1" customWidth="1"/>
    <col min="3073" max="3073" width="27.109375" customWidth="1"/>
    <col min="3074" max="3074" width="15" bestFit="1" customWidth="1"/>
    <col min="3075" max="3075" width="3" bestFit="1" customWidth="1"/>
    <col min="3076" max="3076" width="18.6640625" bestFit="1" customWidth="1"/>
    <col min="3329" max="3329" width="27.109375" customWidth="1"/>
    <col min="3330" max="3330" width="15" bestFit="1" customWidth="1"/>
    <col min="3331" max="3331" width="3" bestFit="1" customWidth="1"/>
    <col min="3332" max="3332" width="18.6640625" bestFit="1" customWidth="1"/>
    <col min="3585" max="3585" width="27.109375" customWidth="1"/>
    <col min="3586" max="3586" width="15" bestFit="1" customWidth="1"/>
    <col min="3587" max="3587" width="3" bestFit="1" customWidth="1"/>
    <col min="3588" max="3588" width="18.6640625" bestFit="1" customWidth="1"/>
    <col min="3841" max="3841" width="27.109375" customWidth="1"/>
    <col min="3842" max="3842" width="15" bestFit="1" customWidth="1"/>
    <col min="3843" max="3843" width="3" bestFit="1" customWidth="1"/>
    <col min="3844" max="3844" width="18.6640625" bestFit="1" customWidth="1"/>
    <col min="4097" max="4097" width="27.109375" customWidth="1"/>
    <col min="4098" max="4098" width="15" bestFit="1" customWidth="1"/>
    <col min="4099" max="4099" width="3" bestFit="1" customWidth="1"/>
    <col min="4100" max="4100" width="18.6640625" bestFit="1" customWidth="1"/>
    <col min="4353" max="4353" width="27.109375" customWidth="1"/>
    <col min="4354" max="4354" width="15" bestFit="1" customWidth="1"/>
    <col min="4355" max="4355" width="3" bestFit="1" customWidth="1"/>
    <col min="4356" max="4356" width="18.6640625" bestFit="1" customWidth="1"/>
    <col min="4609" max="4609" width="27.109375" customWidth="1"/>
    <col min="4610" max="4610" width="15" bestFit="1" customWidth="1"/>
    <col min="4611" max="4611" width="3" bestFit="1" customWidth="1"/>
    <col min="4612" max="4612" width="18.6640625" bestFit="1" customWidth="1"/>
    <col min="4865" max="4865" width="27.109375" customWidth="1"/>
    <col min="4866" max="4866" width="15" bestFit="1" customWidth="1"/>
    <col min="4867" max="4867" width="3" bestFit="1" customWidth="1"/>
    <col min="4868" max="4868" width="18.6640625" bestFit="1" customWidth="1"/>
    <col min="5121" max="5121" width="27.109375" customWidth="1"/>
    <col min="5122" max="5122" width="15" bestFit="1" customWidth="1"/>
    <col min="5123" max="5123" width="3" bestFit="1" customWidth="1"/>
    <col min="5124" max="5124" width="18.6640625" bestFit="1" customWidth="1"/>
    <col min="5377" max="5377" width="27.109375" customWidth="1"/>
    <col min="5378" max="5378" width="15" bestFit="1" customWidth="1"/>
    <col min="5379" max="5379" width="3" bestFit="1" customWidth="1"/>
    <col min="5380" max="5380" width="18.6640625" bestFit="1" customWidth="1"/>
    <col min="5633" max="5633" width="27.109375" customWidth="1"/>
    <col min="5634" max="5634" width="15" bestFit="1" customWidth="1"/>
    <col min="5635" max="5635" width="3" bestFit="1" customWidth="1"/>
    <col min="5636" max="5636" width="18.6640625" bestFit="1" customWidth="1"/>
    <col min="5889" max="5889" width="27.109375" customWidth="1"/>
    <col min="5890" max="5890" width="15" bestFit="1" customWidth="1"/>
    <col min="5891" max="5891" width="3" bestFit="1" customWidth="1"/>
    <col min="5892" max="5892" width="18.6640625" bestFit="1" customWidth="1"/>
    <col min="6145" max="6145" width="27.109375" customWidth="1"/>
    <col min="6146" max="6146" width="15" bestFit="1" customWidth="1"/>
    <col min="6147" max="6147" width="3" bestFit="1" customWidth="1"/>
    <col min="6148" max="6148" width="18.6640625" bestFit="1" customWidth="1"/>
    <col min="6401" max="6401" width="27.109375" customWidth="1"/>
    <col min="6402" max="6402" width="15" bestFit="1" customWidth="1"/>
    <col min="6403" max="6403" width="3" bestFit="1" customWidth="1"/>
    <col min="6404" max="6404" width="18.6640625" bestFit="1" customWidth="1"/>
    <col min="6657" max="6657" width="27.109375" customWidth="1"/>
    <col min="6658" max="6658" width="15" bestFit="1" customWidth="1"/>
    <col min="6659" max="6659" width="3" bestFit="1" customWidth="1"/>
    <col min="6660" max="6660" width="18.6640625" bestFit="1" customWidth="1"/>
    <col min="6913" max="6913" width="27.109375" customWidth="1"/>
    <col min="6914" max="6914" width="15" bestFit="1" customWidth="1"/>
    <col min="6915" max="6915" width="3" bestFit="1" customWidth="1"/>
    <col min="6916" max="6916" width="18.6640625" bestFit="1" customWidth="1"/>
    <col min="7169" max="7169" width="27.109375" customWidth="1"/>
    <col min="7170" max="7170" width="15" bestFit="1" customWidth="1"/>
    <col min="7171" max="7171" width="3" bestFit="1" customWidth="1"/>
    <col min="7172" max="7172" width="18.6640625" bestFit="1" customWidth="1"/>
    <col min="7425" max="7425" width="27.109375" customWidth="1"/>
    <col min="7426" max="7426" width="15" bestFit="1" customWidth="1"/>
    <col min="7427" max="7427" width="3" bestFit="1" customWidth="1"/>
    <col min="7428" max="7428" width="18.6640625" bestFit="1" customWidth="1"/>
    <col min="7681" max="7681" width="27.109375" customWidth="1"/>
    <col min="7682" max="7682" width="15" bestFit="1" customWidth="1"/>
    <col min="7683" max="7683" width="3" bestFit="1" customWidth="1"/>
    <col min="7684" max="7684" width="18.6640625" bestFit="1" customWidth="1"/>
    <col min="7937" max="7937" width="27.109375" customWidth="1"/>
    <col min="7938" max="7938" width="15" bestFit="1" customWidth="1"/>
    <col min="7939" max="7939" width="3" bestFit="1" customWidth="1"/>
    <col min="7940" max="7940" width="18.6640625" bestFit="1" customWidth="1"/>
    <col min="8193" max="8193" width="27.109375" customWidth="1"/>
    <col min="8194" max="8194" width="15" bestFit="1" customWidth="1"/>
    <col min="8195" max="8195" width="3" bestFit="1" customWidth="1"/>
    <col min="8196" max="8196" width="18.6640625" bestFit="1" customWidth="1"/>
    <col min="8449" max="8449" width="27.109375" customWidth="1"/>
    <col min="8450" max="8450" width="15" bestFit="1" customWidth="1"/>
    <col min="8451" max="8451" width="3" bestFit="1" customWidth="1"/>
    <col min="8452" max="8452" width="18.6640625" bestFit="1" customWidth="1"/>
    <col min="8705" max="8705" width="27.109375" customWidth="1"/>
    <col min="8706" max="8706" width="15" bestFit="1" customWidth="1"/>
    <col min="8707" max="8707" width="3" bestFit="1" customWidth="1"/>
    <col min="8708" max="8708" width="18.6640625" bestFit="1" customWidth="1"/>
    <col min="8961" max="8961" width="27.109375" customWidth="1"/>
    <col min="8962" max="8962" width="15" bestFit="1" customWidth="1"/>
    <col min="8963" max="8963" width="3" bestFit="1" customWidth="1"/>
    <col min="8964" max="8964" width="18.6640625" bestFit="1" customWidth="1"/>
    <col min="9217" max="9217" width="27.109375" customWidth="1"/>
    <col min="9218" max="9218" width="15" bestFit="1" customWidth="1"/>
    <col min="9219" max="9219" width="3" bestFit="1" customWidth="1"/>
    <col min="9220" max="9220" width="18.6640625" bestFit="1" customWidth="1"/>
    <col min="9473" max="9473" width="27.109375" customWidth="1"/>
    <col min="9474" max="9474" width="15" bestFit="1" customWidth="1"/>
    <col min="9475" max="9475" width="3" bestFit="1" customWidth="1"/>
    <col min="9476" max="9476" width="18.6640625" bestFit="1" customWidth="1"/>
    <col min="9729" max="9729" width="27.109375" customWidth="1"/>
    <col min="9730" max="9730" width="15" bestFit="1" customWidth="1"/>
    <col min="9731" max="9731" width="3" bestFit="1" customWidth="1"/>
    <col min="9732" max="9732" width="18.6640625" bestFit="1" customWidth="1"/>
    <col min="9985" max="9985" width="27.109375" customWidth="1"/>
    <col min="9986" max="9986" width="15" bestFit="1" customWidth="1"/>
    <col min="9987" max="9987" width="3" bestFit="1" customWidth="1"/>
    <col min="9988" max="9988" width="18.6640625" bestFit="1" customWidth="1"/>
    <col min="10241" max="10241" width="27.109375" customWidth="1"/>
    <col min="10242" max="10242" width="15" bestFit="1" customWidth="1"/>
    <col min="10243" max="10243" width="3" bestFit="1" customWidth="1"/>
    <col min="10244" max="10244" width="18.6640625" bestFit="1" customWidth="1"/>
    <col min="10497" max="10497" width="27.109375" customWidth="1"/>
    <col min="10498" max="10498" width="15" bestFit="1" customWidth="1"/>
    <col min="10499" max="10499" width="3" bestFit="1" customWidth="1"/>
    <col min="10500" max="10500" width="18.6640625" bestFit="1" customWidth="1"/>
    <col min="10753" max="10753" width="27.109375" customWidth="1"/>
    <col min="10754" max="10754" width="15" bestFit="1" customWidth="1"/>
    <col min="10755" max="10755" width="3" bestFit="1" customWidth="1"/>
    <col min="10756" max="10756" width="18.6640625" bestFit="1" customWidth="1"/>
    <col min="11009" max="11009" width="27.109375" customWidth="1"/>
    <col min="11010" max="11010" width="15" bestFit="1" customWidth="1"/>
    <col min="11011" max="11011" width="3" bestFit="1" customWidth="1"/>
    <col min="11012" max="11012" width="18.6640625" bestFit="1" customWidth="1"/>
    <col min="11265" max="11265" width="27.109375" customWidth="1"/>
    <col min="11266" max="11266" width="15" bestFit="1" customWidth="1"/>
    <col min="11267" max="11267" width="3" bestFit="1" customWidth="1"/>
    <col min="11268" max="11268" width="18.6640625" bestFit="1" customWidth="1"/>
    <col min="11521" max="11521" width="27.109375" customWidth="1"/>
    <col min="11522" max="11522" width="15" bestFit="1" customWidth="1"/>
    <col min="11523" max="11523" width="3" bestFit="1" customWidth="1"/>
    <col min="11524" max="11524" width="18.6640625" bestFit="1" customWidth="1"/>
    <col min="11777" max="11777" width="27.109375" customWidth="1"/>
    <col min="11778" max="11778" width="15" bestFit="1" customWidth="1"/>
    <col min="11779" max="11779" width="3" bestFit="1" customWidth="1"/>
    <col min="11780" max="11780" width="18.6640625" bestFit="1" customWidth="1"/>
    <col min="12033" max="12033" width="27.109375" customWidth="1"/>
    <col min="12034" max="12034" width="15" bestFit="1" customWidth="1"/>
    <col min="12035" max="12035" width="3" bestFit="1" customWidth="1"/>
    <col min="12036" max="12036" width="18.6640625" bestFit="1" customWidth="1"/>
    <col min="12289" max="12289" width="27.109375" customWidth="1"/>
    <col min="12290" max="12290" width="15" bestFit="1" customWidth="1"/>
    <col min="12291" max="12291" width="3" bestFit="1" customWidth="1"/>
    <col min="12292" max="12292" width="18.6640625" bestFit="1" customWidth="1"/>
    <col min="12545" max="12545" width="27.109375" customWidth="1"/>
    <col min="12546" max="12546" width="15" bestFit="1" customWidth="1"/>
    <col min="12547" max="12547" width="3" bestFit="1" customWidth="1"/>
    <col min="12548" max="12548" width="18.6640625" bestFit="1" customWidth="1"/>
    <col min="12801" max="12801" width="27.109375" customWidth="1"/>
    <col min="12802" max="12802" width="15" bestFit="1" customWidth="1"/>
    <col min="12803" max="12803" width="3" bestFit="1" customWidth="1"/>
    <col min="12804" max="12804" width="18.6640625" bestFit="1" customWidth="1"/>
    <col min="13057" max="13057" width="27.109375" customWidth="1"/>
    <col min="13058" max="13058" width="15" bestFit="1" customWidth="1"/>
    <col min="13059" max="13059" width="3" bestFit="1" customWidth="1"/>
    <col min="13060" max="13060" width="18.6640625" bestFit="1" customWidth="1"/>
    <col min="13313" max="13313" width="27.109375" customWidth="1"/>
    <col min="13314" max="13314" width="15" bestFit="1" customWidth="1"/>
    <col min="13315" max="13315" width="3" bestFit="1" customWidth="1"/>
    <col min="13316" max="13316" width="18.6640625" bestFit="1" customWidth="1"/>
    <col min="13569" max="13569" width="27.109375" customWidth="1"/>
    <col min="13570" max="13570" width="15" bestFit="1" customWidth="1"/>
    <col min="13571" max="13571" width="3" bestFit="1" customWidth="1"/>
    <col min="13572" max="13572" width="18.6640625" bestFit="1" customWidth="1"/>
    <col min="13825" max="13825" width="27.109375" customWidth="1"/>
    <col min="13826" max="13826" width="15" bestFit="1" customWidth="1"/>
    <col min="13827" max="13827" width="3" bestFit="1" customWidth="1"/>
    <col min="13828" max="13828" width="18.6640625" bestFit="1" customWidth="1"/>
    <col min="14081" max="14081" width="27.109375" customWidth="1"/>
    <col min="14082" max="14082" width="15" bestFit="1" customWidth="1"/>
    <col min="14083" max="14083" width="3" bestFit="1" customWidth="1"/>
    <col min="14084" max="14084" width="18.6640625" bestFit="1" customWidth="1"/>
    <col min="14337" max="14337" width="27.109375" customWidth="1"/>
    <col min="14338" max="14338" width="15" bestFit="1" customWidth="1"/>
    <col min="14339" max="14339" width="3" bestFit="1" customWidth="1"/>
    <col min="14340" max="14340" width="18.6640625" bestFit="1" customWidth="1"/>
    <col min="14593" max="14593" width="27.109375" customWidth="1"/>
    <col min="14594" max="14594" width="15" bestFit="1" customWidth="1"/>
    <col min="14595" max="14595" width="3" bestFit="1" customWidth="1"/>
    <col min="14596" max="14596" width="18.6640625" bestFit="1" customWidth="1"/>
    <col min="14849" max="14849" width="27.109375" customWidth="1"/>
    <col min="14850" max="14850" width="15" bestFit="1" customWidth="1"/>
    <col min="14851" max="14851" width="3" bestFit="1" customWidth="1"/>
    <col min="14852" max="14852" width="18.6640625" bestFit="1" customWidth="1"/>
    <col min="15105" max="15105" width="27.109375" customWidth="1"/>
    <col min="15106" max="15106" width="15" bestFit="1" customWidth="1"/>
    <col min="15107" max="15107" width="3" bestFit="1" customWidth="1"/>
    <col min="15108" max="15108" width="18.6640625" bestFit="1" customWidth="1"/>
    <col min="15361" max="15361" width="27.109375" customWidth="1"/>
    <col min="15362" max="15362" width="15" bestFit="1" customWidth="1"/>
    <col min="15363" max="15363" width="3" bestFit="1" customWidth="1"/>
    <col min="15364" max="15364" width="18.6640625" bestFit="1" customWidth="1"/>
    <col min="15617" max="15617" width="27.109375" customWidth="1"/>
    <col min="15618" max="15618" width="15" bestFit="1" customWidth="1"/>
    <col min="15619" max="15619" width="3" bestFit="1" customWidth="1"/>
    <col min="15620" max="15620" width="18.6640625" bestFit="1" customWidth="1"/>
    <col min="15873" max="15873" width="27.109375" customWidth="1"/>
    <col min="15874" max="15874" width="15" bestFit="1" customWidth="1"/>
    <col min="15875" max="15875" width="3" bestFit="1" customWidth="1"/>
    <col min="15876" max="15876" width="18.6640625" bestFit="1" customWidth="1"/>
    <col min="16129" max="16129" width="27.109375" customWidth="1"/>
    <col min="16130" max="16130" width="15" bestFit="1" customWidth="1"/>
    <col min="16131" max="16131" width="3" bestFit="1" customWidth="1"/>
    <col min="16132" max="16132" width="18.6640625" bestFit="1" customWidth="1"/>
  </cols>
  <sheetData>
    <row r="1" spans="1:8" ht="43.2" x14ac:dyDescent="0.3">
      <c r="A1" s="34" t="str">
        <f>"If your investment plan requires that you deposit "&amp;DOLLAR(B5)&amp;" at the beginning of each period for the next "&amp;B4&amp;" years and you can earn "&amp;TEXT(B2,"0.00%")&amp;" compounded "&amp;B3&amp;" time a year, what is the Future Value?"</f>
        <v>If your investment plan requires that you deposit $100.00 at the beginning of each period for the next 40 years and you can earn 12.00% compounded 12 time a year, what is the Future Value?</v>
      </c>
      <c r="B1" s="34"/>
      <c r="C1" s="34"/>
      <c r="D1" s="34"/>
    </row>
    <row r="2" spans="1:8" x14ac:dyDescent="0.3">
      <c r="A2" s="8" t="s">
        <v>57</v>
      </c>
      <c r="B2" s="1">
        <v>0.12</v>
      </c>
    </row>
    <row r="3" spans="1:8" x14ac:dyDescent="0.3">
      <c r="A3" s="8" t="s">
        <v>39</v>
      </c>
      <c r="B3" s="1">
        <v>12</v>
      </c>
    </row>
    <row r="4" spans="1:8" x14ac:dyDescent="0.3">
      <c r="A4" s="8" t="s">
        <v>77</v>
      </c>
      <c r="B4" s="1">
        <v>40</v>
      </c>
    </row>
    <row r="5" spans="1:8" ht="28.8" x14ac:dyDescent="0.3">
      <c r="A5" s="8" t="s">
        <v>78</v>
      </c>
      <c r="B5" s="1">
        <v>100</v>
      </c>
    </row>
    <row r="6" spans="1:8" ht="28.8" x14ac:dyDescent="0.3">
      <c r="A6" s="8" t="s">
        <v>244</v>
      </c>
      <c r="B6" s="3"/>
    </row>
    <row r="7" spans="1:8" x14ac:dyDescent="0.3">
      <c r="A7" s="10"/>
    </row>
    <row r="8" spans="1:8" ht="28.8" x14ac:dyDescent="0.3">
      <c r="A8" s="56" t="s">
        <v>310</v>
      </c>
      <c r="B8" s="57">
        <f>B5*((1+B2/B3)^(B3*B4)-1)/(B2/B3)*(1+B2/B3)</f>
        <v>1188242.0235354092</v>
      </c>
    </row>
    <row r="9" spans="1:8" x14ac:dyDescent="0.3">
      <c r="A9" s="8" t="s">
        <v>79</v>
      </c>
      <c r="B9" s="30">
        <f>FV(B2/B3,B4*B3,-B5,,1)</f>
        <v>1188242.0235354092</v>
      </c>
    </row>
    <row r="11" spans="1:8" x14ac:dyDescent="0.3">
      <c r="A11" s="56" t="s">
        <v>80</v>
      </c>
      <c r="B11" s="57">
        <f>B5*B4*B3</f>
        <v>48000</v>
      </c>
    </row>
    <row r="12" spans="1:8" x14ac:dyDescent="0.3">
      <c r="A12" s="56" t="s">
        <v>81</v>
      </c>
      <c r="B12" s="30">
        <f>B9-B11</f>
        <v>1140242.0235354092</v>
      </c>
    </row>
    <row r="13" spans="1:8" ht="28.8" x14ac:dyDescent="0.3">
      <c r="A13" s="56" t="s">
        <v>83</v>
      </c>
      <c r="B13" s="30">
        <f>B9-'13'!B9</f>
        <v>1188242.0235354092</v>
      </c>
    </row>
    <row r="15" spans="1:8" ht="43.2" x14ac:dyDescent="0.3">
      <c r="A15" s="61" t="s">
        <v>82</v>
      </c>
      <c r="B15" s="58" t="str">
        <f>IF(B9="","","If your investment plan requires that you deposit "&amp;DOLLAR(B5)&amp;" at the beginning of each period for the next "&amp;B4&amp;" years and you can earn "&amp;TEXT(B2,"0.00%")&amp;" compounded "&amp;B3&amp;" time a year, your Future Value would be "&amp;DOLLAR(FV(B2/B3,B3*B4,-B5,,B6))&amp;".")</f>
        <v>If your investment plan requires that you deposit $100.00 at the beginning of each period for the next 40 years and you can earn 12.00% compounded 12 time a year, your Future Value would be $1,176,477.25.</v>
      </c>
      <c r="C15" s="59"/>
      <c r="D15" s="59"/>
      <c r="E15" s="59"/>
      <c r="F15" s="59"/>
      <c r="G15" s="59"/>
      <c r="H15" s="60"/>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5"/>
  <sheetViews>
    <sheetView zoomScale="130" zoomScaleNormal="130" workbookViewId="0">
      <selection activeCell="C8" sqref="C8"/>
    </sheetView>
  </sheetViews>
  <sheetFormatPr defaultRowHeight="14.4" x14ac:dyDescent="0.3"/>
  <cols>
    <col min="1" max="1" width="2" bestFit="1" customWidth="1"/>
    <col min="2" max="2" width="36.109375" bestFit="1" customWidth="1"/>
    <col min="3" max="3" width="12" bestFit="1" customWidth="1"/>
    <col min="4" max="4" width="10.88671875" customWidth="1"/>
    <col min="5" max="5" width="10" bestFit="1" customWidth="1"/>
    <col min="257" max="257" width="2" bestFit="1" customWidth="1"/>
    <col min="258" max="258" width="36.109375" bestFit="1" customWidth="1"/>
    <col min="259" max="259" width="12" bestFit="1" customWidth="1"/>
    <col min="260" max="260" width="10.88671875" customWidth="1"/>
    <col min="261" max="261" width="9.5546875" bestFit="1" customWidth="1"/>
    <col min="513" max="513" width="2" bestFit="1" customWidth="1"/>
    <col min="514" max="514" width="36.109375" bestFit="1" customWidth="1"/>
    <col min="515" max="515" width="12" bestFit="1" customWidth="1"/>
    <col min="516" max="516" width="10.88671875" customWidth="1"/>
    <col min="517" max="517" width="9.5546875" bestFit="1" customWidth="1"/>
    <col min="769" max="769" width="2" bestFit="1" customWidth="1"/>
    <col min="770" max="770" width="36.109375" bestFit="1" customWidth="1"/>
    <col min="771" max="771" width="12" bestFit="1" customWidth="1"/>
    <col min="772" max="772" width="10.88671875" customWidth="1"/>
    <col min="773" max="773" width="9.5546875" bestFit="1" customWidth="1"/>
    <col min="1025" max="1025" width="2" bestFit="1" customWidth="1"/>
    <col min="1026" max="1026" width="36.109375" bestFit="1" customWidth="1"/>
    <col min="1027" max="1027" width="12" bestFit="1" customWidth="1"/>
    <col min="1028" max="1028" width="10.88671875" customWidth="1"/>
    <col min="1029" max="1029" width="9.5546875" bestFit="1" customWidth="1"/>
    <col min="1281" max="1281" width="2" bestFit="1" customWidth="1"/>
    <col min="1282" max="1282" width="36.109375" bestFit="1" customWidth="1"/>
    <col min="1283" max="1283" width="12" bestFit="1" customWidth="1"/>
    <col min="1284" max="1284" width="10.88671875" customWidth="1"/>
    <col min="1285" max="1285" width="9.5546875" bestFit="1" customWidth="1"/>
    <col min="1537" max="1537" width="2" bestFit="1" customWidth="1"/>
    <col min="1538" max="1538" width="36.109375" bestFit="1" customWidth="1"/>
    <col min="1539" max="1539" width="12" bestFit="1" customWidth="1"/>
    <col min="1540" max="1540" width="10.88671875" customWidth="1"/>
    <col min="1541" max="1541" width="9.5546875" bestFit="1" customWidth="1"/>
    <col min="1793" max="1793" width="2" bestFit="1" customWidth="1"/>
    <col min="1794" max="1794" width="36.109375" bestFit="1" customWidth="1"/>
    <col min="1795" max="1795" width="12" bestFit="1" customWidth="1"/>
    <col min="1796" max="1796" width="10.88671875" customWidth="1"/>
    <col min="1797" max="1797" width="9.5546875" bestFit="1" customWidth="1"/>
    <col min="2049" max="2049" width="2" bestFit="1" customWidth="1"/>
    <col min="2050" max="2050" width="36.109375" bestFit="1" customWidth="1"/>
    <col min="2051" max="2051" width="12" bestFit="1" customWidth="1"/>
    <col min="2052" max="2052" width="10.88671875" customWidth="1"/>
    <col min="2053" max="2053" width="9.5546875" bestFit="1" customWidth="1"/>
    <col min="2305" max="2305" width="2" bestFit="1" customWidth="1"/>
    <col min="2306" max="2306" width="36.109375" bestFit="1" customWidth="1"/>
    <col min="2307" max="2307" width="12" bestFit="1" customWidth="1"/>
    <col min="2308" max="2308" width="10.88671875" customWidth="1"/>
    <col min="2309" max="2309" width="9.5546875" bestFit="1" customWidth="1"/>
    <col min="2561" max="2561" width="2" bestFit="1" customWidth="1"/>
    <col min="2562" max="2562" width="36.109375" bestFit="1" customWidth="1"/>
    <col min="2563" max="2563" width="12" bestFit="1" customWidth="1"/>
    <col min="2564" max="2564" width="10.88671875" customWidth="1"/>
    <col min="2565" max="2565" width="9.5546875" bestFit="1" customWidth="1"/>
    <col min="2817" max="2817" width="2" bestFit="1" customWidth="1"/>
    <col min="2818" max="2818" width="36.109375" bestFit="1" customWidth="1"/>
    <col min="2819" max="2819" width="12" bestFit="1" customWidth="1"/>
    <col min="2820" max="2820" width="10.88671875" customWidth="1"/>
    <col min="2821" max="2821" width="9.5546875" bestFit="1" customWidth="1"/>
    <col min="3073" max="3073" width="2" bestFit="1" customWidth="1"/>
    <col min="3074" max="3074" width="36.109375" bestFit="1" customWidth="1"/>
    <col min="3075" max="3075" width="12" bestFit="1" customWidth="1"/>
    <col min="3076" max="3076" width="10.88671875" customWidth="1"/>
    <col min="3077" max="3077" width="9.5546875" bestFit="1" customWidth="1"/>
    <col min="3329" max="3329" width="2" bestFit="1" customWidth="1"/>
    <col min="3330" max="3330" width="36.109375" bestFit="1" customWidth="1"/>
    <col min="3331" max="3331" width="12" bestFit="1" customWidth="1"/>
    <col min="3332" max="3332" width="10.88671875" customWidth="1"/>
    <col min="3333" max="3333" width="9.5546875" bestFit="1" customWidth="1"/>
    <col min="3585" max="3585" width="2" bestFit="1" customWidth="1"/>
    <col min="3586" max="3586" width="36.109375" bestFit="1" customWidth="1"/>
    <col min="3587" max="3587" width="12" bestFit="1" customWidth="1"/>
    <col min="3588" max="3588" width="10.88671875" customWidth="1"/>
    <col min="3589" max="3589" width="9.5546875" bestFit="1" customWidth="1"/>
    <col min="3841" max="3841" width="2" bestFit="1" customWidth="1"/>
    <col min="3842" max="3842" width="36.109375" bestFit="1" customWidth="1"/>
    <col min="3843" max="3843" width="12" bestFit="1" customWidth="1"/>
    <col min="3844" max="3844" width="10.88671875" customWidth="1"/>
    <col min="3845" max="3845" width="9.5546875" bestFit="1" customWidth="1"/>
    <col min="4097" max="4097" width="2" bestFit="1" customWidth="1"/>
    <col min="4098" max="4098" width="36.109375" bestFit="1" customWidth="1"/>
    <col min="4099" max="4099" width="12" bestFit="1" customWidth="1"/>
    <col min="4100" max="4100" width="10.88671875" customWidth="1"/>
    <col min="4101" max="4101" width="9.5546875" bestFit="1" customWidth="1"/>
    <col min="4353" max="4353" width="2" bestFit="1" customWidth="1"/>
    <col min="4354" max="4354" width="36.109375" bestFit="1" customWidth="1"/>
    <col min="4355" max="4355" width="12" bestFit="1" customWidth="1"/>
    <col min="4356" max="4356" width="10.88671875" customWidth="1"/>
    <col min="4357" max="4357" width="9.5546875" bestFit="1" customWidth="1"/>
    <col min="4609" max="4609" width="2" bestFit="1" customWidth="1"/>
    <col min="4610" max="4610" width="36.109375" bestFit="1" customWidth="1"/>
    <col min="4611" max="4611" width="12" bestFit="1" customWidth="1"/>
    <col min="4612" max="4612" width="10.88671875" customWidth="1"/>
    <col min="4613" max="4613" width="9.5546875" bestFit="1" customWidth="1"/>
    <col min="4865" max="4865" width="2" bestFit="1" customWidth="1"/>
    <col min="4866" max="4866" width="36.109375" bestFit="1" customWidth="1"/>
    <col min="4867" max="4867" width="12" bestFit="1" customWidth="1"/>
    <col min="4868" max="4868" width="10.88671875" customWidth="1"/>
    <col min="4869" max="4869" width="9.5546875" bestFit="1" customWidth="1"/>
    <col min="5121" max="5121" width="2" bestFit="1" customWidth="1"/>
    <col min="5122" max="5122" width="36.109375" bestFit="1" customWidth="1"/>
    <col min="5123" max="5123" width="12" bestFit="1" customWidth="1"/>
    <col min="5124" max="5124" width="10.88671875" customWidth="1"/>
    <col min="5125" max="5125" width="9.5546875" bestFit="1" customWidth="1"/>
    <col min="5377" max="5377" width="2" bestFit="1" customWidth="1"/>
    <col min="5378" max="5378" width="36.109375" bestFit="1" customWidth="1"/>
    <col min="5379" max="5379" width="12" bestFit="1" customWidth="1"/>
    <col min="5380" max="5380" width="10.88671875" customWidth="1"/>
    <col min="5381" max="5381" width="9.5546875" bestFit="1" customWidth="1"/>
    <col min="5633" max="5633" width="2" bestFit="1" customWidth="1"/>
    <col min="5634" max="5634" width="36.109375" bestFit="1" customWidth="1"/>
    <col min="5635" max="5635" width="12" bestFit="1" customWidth="1"/>
    <col min="5636" max="5636" width="10.88671875" customWidth="1"/>
    <col min="5637" max="5637" width="9.5546875" bestFit="1" customWidth="1"/>
    <col min="5889" max="5889" width="2" bestFit="1" customWidth="1"/>
    <col min="5890" max="5890" width="36.109375" bestFit="1" customWidth="1"/>
    <col min="5891" max="5891" width="12" bestFit="1" customWidth="1"/>
    <col min="5892" max="5892" width="10.88671875" customWidth="1"/>
    <col min="5893" max="5893" width="9.5546875" bestFit="1" customWidth="1"/>
    <col min="6145" max="6145" width="2" bestFit="1" customWidth="1"/>
    <col min="6146" max="6146" width="36.109375" bestFit="1" customWidth="1"/>
    <col min="6147" max="6147" width="12" bestFit="1" customWidth="1"/>
    <col min="6148" max="6148" width="10.88671875" customWidth="1"/>
    <col min="6149" max="6149" width="9.5546875" bestFit="1" customWidth="1"/>
    <col min="6401" max="6401" width="2" bestFit="1" customWidth="1"/>
    <col min="6402" max="6402" width="36.109375" bestFit="1" customWidth="1"/>
    <col min="6403" max="6403" width="12" bestFit="1" customWidth="1"/>
    <col min="6404" max="6404" width="10.88671875" customWidth="1"/>
    <col min="6405" max="6405" width="9.5546875" bestFit="1" customWidth="1"/>
    <col min="6657" max="6657" width="2" bestFit="1" customWidth="1"/>
    <col min="6658" max="6658" width="36.109375" bestFit="1" customWidth="1"/>
    <col min="6659" max="6659" width="12" bestFit="1" customWidth="1"/>
    <col min="6660" max="6660" width="10.88671875" customWidth="1"/>
    <col min="6661" max="6661" width="9.5546875" bestFit="1" customWidth="1"/>
    <col min="6913" max="6913" width="2" bestFit="1" customWidth="1"/>
    <col min="6914" max="6914" width="36.109375" bestFit="1" customWidth="1"/>
    <col min="6915" max="6915" width="12" bestFit="1" customWidth="1"/>
    <col min="6916" max="6916" width="10.88671875" customWidth="1"/>
    <col min="6917" max="6917" width="9.5546875" bestFit="1" customWidth="1"/>
    <col min="7169" max="7169" width="2" bestFit="1" customWidth="1"/>
    <col min="7170" max="7170" width="36.109375" bestFit="1" customWidth="1"/>
    <col min="7171" max="7171" width="12" bestFit="1" customWidth="1"/>
    <col min="7172" max="7172" width="10.88671875" customWidth="1"/>
    <col min="7173" max="7173" width="9.5546875" bestFit="1" customWidth="1"/>
    <col min="7425" max="7425" width="2" bestFit="1" customWidth="1"/>
    <col min="7426" max="7426" width="36.109375" bestFit="1" customWidth="1"/>
    <col min="7427" max="7427" width="12" bestFit="1" customWidth="1"/>
    <col min="7428" max="7428" width="10.88671875" customWidth="1"/>
    <col min="7429" max="7429" width="9.5546875" bestFit="1" customWidth="1"/>
    <col min="7681" max="7681" width="2" bestFit="1" customWidth="1"/>
    <col min="7682" max="7682" width="36.109375" bestFit="1" customWidth="1"/>
    <col min="7683" max="7683" width="12" bestFit="1" customWidth="1"/>
    <col min="7684" max="7684" width="10.88671875" customWidth="1"/>
    <col min="7685" max="7685" width="9.5546875" bestFit="1" customWidth="1"/>
    <col min="7937" max="7937" width="2" bestFit="1" customWidth="1"/>
    <col min="7938" max="7938" width="36.109375" bestFit="1" customWidth="1"/>
    <col min="7939" max="7939" width="12" bestFit="1" customWidth="1"/>
    <col min="7940" max="7940" width="10.88671875" customWidth="1"/>
    <col min="7941" max="7941" width="9.5546875" bestFit="1" customWidth="1"/>
    <col min="8193" max="8193" width="2" bestFit="1" customWidth="1"/>
    <col min="8194" max="8194" width="36.109375" bestFit="1" customWidth="1"/>
    <col min="8195" max="8195" width="12" bestFit="1" customWidth="1"/>
    <col min="8196" max="8196" width="10.88671875" customWidth="1"/>
    <col min="8197" max="8197" width="9.5546875" bestFit="1" customWidth="1"/>
    <col min="8449" max="8449" width="2" bestFit="1" customWidth="1"/>
    <col min="8450" max="8450" width="36.109375" bestFit="1" customWidth="1"/>
    <col min="8451" max="8451" width="12" bestFit="1" customWidth="1"/>
    <col min="8452" max="8452" width="10.88671875" customWidth="1"/>
    <col min="8453" max="8453" width="9.5546875" bestFit="1" customWidth="1"/>
    <col min="8705" max="8705" width="2" bestFit="1" customWidth="1"/>
    <col min="8706" max="8706" width="36.109375" bestFit="1" customWidth="1"/>
    <col min="8707" max="8707" width="12" bestFit="1" customWidth="1"/>
    <col min="8708" max="8708" width="10.88671875" customWidth="1"/>
    <col min="8709" max="8709" width="9.5546875" bestFit="1" customWidth="1"/>
    <col min="8961" max="8961" width="2" bestFit="1" customWidth="1"/>
    <col min="8962" max="8962" width="36.109375" bestFit="1" customWidth="1"/>
    <col min="8963" max="8963" width="12" bestFit="1" customWidth="1"/>
    <col min="8964" max="8964" width="10.88671875" customWidth="1"/>
    <col min="8965" max="8965" width="9.5546875" bestFit="1" customWidth="1"/>
    <col min="9217" max="9217" width="2" bestFit="1" customWidth="1"/>
    <col min="9218" max="9218" width="36.109375" bestFit="1" customWidth="1"/>
    <col min="9219" max="9219" width="12" bestFit="1" customWidth="1"/>
    <col min="9220" max="9220" width="10.88671875" customWidth="1"/>
    <col min="9221" max="9221" width="9.5546875" bestFit="1" customWidth="1"/>
    <col min="9473" max="9473" width="2" bestFit="1" customWidth="1"/>
    <col min="9474" max="9474" width="36.109375" bestFit="1" customWidth="1"/>
    <col min="9475" max="9475" width="12" bestFit="1" customWidth="1"/>
    <col min="9476" max="9476" width="10.88671875" customWidth="1"/>
    <col min="9477" max="9477" width="9.5546875" bestFit="1" customWidth="1"/>
    <col min="9729" max="9729" width="2" bestFit="1" customWidth="1"/>
    <col min="9730" max="9730" width="36.109375" bestFit="1" customWidth="1"/>
    <col min="9731" max="9731" width="12" bestFit="1" customWidth="1"/>
    <col min="9732" max="9732" width="10.88671875" customWidth="1"/>
    <col min="9733" max="9733" width="9.5546875" bestFit="1" customWidth="1"/>
    <col min="9985" max="9985" width="2" bestFit="1" customWidth="1"/>
    <col min="9986" max="9986" width="36.109375" bestFit="1" customWidth="1"/>
    <col min="9987" max="9987" width="12" bestFit="1" customWidth="1"/>
    <col min="9988" max="9988" width="10.88671875" customWidth="1"/>
    <col min="9989" max="9989" width="9.5546875" bestFit="1" customWidth="1"/>
    <col min="10241" max="10241" width="2" bestFit="1" customWidth="1"/>
    <col min="10242" max="10242" width="36.109375" bestFit="1" customWidth="1"/>
    <col min="10243" max="10243" width="12" bestFit="1" customWidth="1"/>
    <col min="10244" max="10244" width="10.88671875" customWidth="1"/>
    <col min="10245" max="10245" width="9.5546875" bestFit="1" customWidth="1"/>
    <col min="10497" max="10497" width="2" bestFit="1" customWidth="1"/>
    <col min="10498" max="10498" width="36.109375" bestFit="1" customWidth="1"/>
    <col min="10499" max="10499" width="12" bestFit="1" customWidth="1"/>
    <col min="10500" max="10500" width="10.88671875" customWidth="1"/>
    <col min="10501" max="10501" width="9.5546875" bestFit="1" customWidth="1"/>
    <col min="10753" max="10753" width="2" bestFit="1" customWidth="1"/>
    <col min="10754" max="10754" width="36.109375" bestFit="1" customWidth="1"/>
    <col min="10755" max="10755" width="12" bestFit="1" customWidth="1"/>
    <col min="10756" max="10756" width="10.88671875" customWidth="1"/>
    <col min="10757" max="10757" width="9.5546875" bestFit="1" customWidth="1"/>
    <col min="11009" max="11009" width="2" bestFit="1" customWidth="1"/>
    <col min="11010" max="11010" width="36.109375" bestFit="1" customWidth="1"/>
    <col min="11011" max="11011" width="12" bestFit="1" customWidth="1"/>
    <col min="11012" max="11012" width="10.88671875" customWidth="1"/>
    <col min="11013" max="11013" width="9.5546875" bestFit="1" customWidth="1"/>
    <col min="11265" max="11265" width="2" bestFit="1" customWidth="1"/>
    <col min="11266" max="11266" width="36.109375" bestFit="1" customWidth="1"/>
    <col min="11267" max="11267" width="12" bestFit="1" customWidth="1"/>
    <col min="11268" max="11268" width="10.88671875" customWidth="1"/>
    <col min="11269" max="11269" width="9.5546875" bestFit="1" customWidth="1"/>
    <col min="11521" max="11521" width="2" bestFit="1" customWidth="1"/>
    <col min="11522" max="11522" width="36.109375" bestFit="1" customWidth="1"/>
    <col min="11523" max="11523" width="12" bestFit="1" customWidth="1"/>
    <col min="11524" max="11524" width="10.88671875" customWidth="1"/>
    <col min="11525" max="11525" width="9.5546875" bestFit="1" customWidth="1"/>
    <col min="11777" max="11777" width="2" bestFit="1" customWidth="1"/>
    <col min="11778" max="11778" width="36.109375" bestFit="1" customWidth="1"/>
    <col min="11779" max="11779" width="12" bestFit="1" customWidth="1"/>
    <col min="11780" max="11780" width="10.88671875" customWidth="1"/>
    <col min="11781" max="11781" width="9.5546875" bestFit="1" customWidth="1"/>
    <col min="12033" max="12033" width="2" bestFit="1" customWidth="1"/>
    <col min="12034" max="12034" width="36.109375" bestFit="1" customWidth="1"/>
    <col min="12035" max="12035" width="12" bestFit="1" customWidth="1"/>
    <col min="12036" max="12036" width="10.88671875" customWidth="1"/>
    <col min="12037" max="12037" width="9.5546875" bestFit="1" customWidth="1"/>
    <col min="12289" max="12289" width="2" bestFit="1" customWidth="1"/>
    <col min="12290" max="12290" width="36.109375" bestFit="1" customWidth="1"/>
    <col min="12291" max="12291" width="12" bestFit="1" customWidth="1"/>
    <col min="12292" max="12292" width="10.88671875" customWidth="1"/>
    <col min="12293" max="12293" width="9.5546875" bestFit="1" customWidth="1"/>
    <col min="12545" max="12545" width="2" bestFit="1" customWidth="1"/>
    <col min="12546" max="12546" width="36.109375" bestFit="1" customWidth="1"/>
    <col min="12547" max="12547" width="12" bestFit="1" customWidth="1"/>
    <col min="12548" max="12548" width="10.88671875" customWidth="1"/>
    <col min="12549" max="12549" width="9.5546875" bestFit="1" customWidth="1"/>
    <col min="12801" max="12801" width="2" bestFit="1" customWidth="1"/>
    <col min="12802" max="12802" width="36.109375" bestFit="1" customWidth="1"/>
    <col min="12803" max="12803" width="12" bestFit="1" customWidth="1"/>
    <col min="12804" max="12804" width="10.88671875" customWidth="1"/>
    <col min="12805" max="12805" width="9.5546875" bestFit="1" customWidth="1"/>
    <col min="13057" max="13057" width="2" bestFit="1" customWidth="1"/>
    <col min="13058" max="13058" width="36.109375" bestFit="1" customWidth="1"/>
    <col min="13059" max="13059" width="12" bestFit="1" customWidth="1"/>
    <col min="13060" max="13060" width="10.88671875" customWidth="1"/>
    <col min="13061" max="13061" width="9.5546875" bestFit="1" customWidth="1"/>
    <col min="13313" max="13313" width="2" bestFit="1" customWidth="1"/>
    <col min="13314" max="13314" width="36.109375" bestFit="1" customWidth="1"/>
    <col min="13315" max="13315" width="12" bestFit="1" customWidth="1"/>
    <col min="13316" max="13316" width="10.88671875" customWidth="1"/>
    <col min="13317" max="13317" width="9.5546875" bestFit="1" customWidth="1"/>
    <col min="13569" max="13569" width="2" bestFit="1" customWidth="1"/>
    <col min="13570" max="13570" width="36.109375" bestFit="1" customWidth="1"/>
    <col min="13571" max="13571" width="12" bestFit="1" customWidth="1"/>
    <col min="13572" max="13572" width="10.88671875" customWidth="1"/>
    <col min="13573" max="13573" width="9.5546875" bestFit="1" customWidth="1"/>
    <col min="13825" max="13825" width="2" bestFit="1" customWidth="1"/>
    <col min="13826" max="13826" width="36.109375" bestFit="1" customWidth="1"/>
    <col min="13827" max="13827" width="12" bestFit="1" customWidth="1"/>
    <col min="13828" max="13828" width="10.88671875" customWidth="1"/>
    <col min="13829" max="13829" width="9.5546875" bestFit="1" customWidth="1"/>
    <col min="14081" max="14081" width="2" bestFit="1" customWidth="1"/>
    <col min="14082" max="14082" width="36.109375" bestFit="1" customWidth="1"/>
    <col min="14083" max="14083" width="12" bestFit="1" customWidth="1"/>
    <col min="14084" max="14084" width="10.88671875" customWidth="1"/>
    <col min="14085" max="14085" width="9.5546875" bestFit="1" customWidth="1"/>
    <col min="14337" max="14337" width="2" bestFit="1" customWidth="1"/>
    <col min="14338" max="14338" width="36.109375" bestFit="1" customWidth="1"/>
    <col min="14339" max="14339" width="12" bestFit="1" customWidth="1"/>
    <col min="14340" max="14340" width="10.88671875" customWidth="1"/>
    <col min="14341" max="14341" width="9.5546875" bestFit="1" customWidth="1"/>
    <col min="14593" max="14593" width="2" bestFit="1" customWidth="1"/>
    <col min="14594" max="14594" width="36.109375" bestFit="1" customWidth="1"/>
    <col min="14595" max="14595" width="12" bestFit="1" customWidth="1"/>
    <col min="14596" max="14596" width="10.88671875" customWidth="1"/>
    <col min="14597" max="14597" width="9.5546875" bestFit="1" customWidth="1"/>
    <col min="14849" max="14849" width="2" bestFit="1" customWidth="1"/>
    <col min="14850" max="14850" width="36.109375" bestFit="1" customWidth="1"/>
    <col min="14851" max="14851" width="12" bestFit="1" customWidth="1"/>
    <col min="14852" max="14852" width="10.88671875" customWidth="1"/>
    <col min="14853" max="14853" width="9.5546875" bestFit="1" customWidth="1"/>
    <col min="15105" max="15105" width="2" bestFit="1" customWidth="1"/>
    <col min="15106" max="15106" width="36.109375" bestFit="1" customWidth="1"/>
    <col min="15107" max="15107" width="12" bestFit="1" customWidth="1"/>
    <col min="15108" max="15108" width="10.88671875" customWidth="1"/>
    <col min="15109" max="15109" width="9.5546875" bestFit="1" customWidth="1"/>
    <col min="15361" max="15361" width="2" bestFit="1" customWidth="1"/>
    <col min="15362" max="15362" width="36.109375" bestFit="1" customWidth="1"/>
    <col min="15363" max="15363" width="12" bestFit="1" customWidth="1"/>
    <col min="15364" max="15364" width="10.88671875" customWidth="1"/>
    <col min="15365" max="15365" width="9.5546875" bestFit="1" customWidth="1"/>
    <col min="15617" max="15617" width="2" bestFit="1" customWidth="1"/>
    <col min="15618" max="15618" width="36.109375" bestFit="1" customWidth="1"/>
    <col min="15619" max="15619" width="12" bestFit="1" customWidth="1"/>
    <col min="15620" max="15620" width="10.88671875" customWidth="1"/>
    <col min="15621" max="15621" width="9.5546875" bestFit="1" customWidth="1"/>
    <col min="15873" max="15873" width="2" bestFit="1" customWidth="1"/>
    <col min="15874" max="15874" width="36.109375" bestFit="1" customWidth="1"/>
    <col min="15875" max="15875" width="12" bestFit="1" customWidth="1"/>
    <col min="15876" max="15876" width="10.88671875" customWidth="1"/>
    <col min="15877" max="15877" width="9.5546875" bestFit="1" customWidth="1"/>
    <col min="16129" max="16129" width="2" bestFit="1" customWidth="1"/>
    <col min="16130" max="16130" width="36.109375" bestFit="1" customWidth="1"/>
    <col min="16131" max="16131" width="12" bestFit="1" customWidth="1"/>
    <col min="16132" max="16132" width="10.88671875" customWidth="1"/>
    <col min="16133" max="16133" width="9.5546875" bestFit="1" customWidth="1"/>
  </cols>
  <sheetData>
    <row r="1" spans="1:5" ht="28.8" x14ac:dyDescent="0.3">
      <c r="B1" s="142" t="str">
        <f>"Savings Plan that compounds interest "&amp;C4&amp;" times a year, but you put money in "&amp;C9&amp;" times a year."</f>
        <v>Savings Plan that compounds interest 365 times a year, but you put money in 12 times a year.</v>
      </c>
      <c r="C1" s="143"/>
      <c r="D1" s="144"/>
      <c r="E1" s="141"/>
    </row>
    <row r="2" spans="1:5" x14ac:dyDescent="0.3">
      <c r="B2" s="1" t="s">
        <v>84</v>
      </c>
      <c r="C2" s="1">
        <v>-250</v>
      </c>
    </row>
    <row r="3" spans="1:5" x14ac:dyDescent="0.3">
      <c r="B3" s="1" t="s">
        <v>85</v>
      </c>
      <c r="C3" s="1">
        <v>25</v>
      </c>
    </row>
    <row r="4" spans="1:5" x14ac:dyDescent="0.3">
      <c r="B4" s="1" t="s">
        <v>86</v>
      </c>
      <c r="C4" s="1">
        <v>365</v>
      </c>
    </row>
    <row r="5" spans="1:5" x14ac:dyDescent="0.3">
      <c r="B5" s="1" t="s">
        <v>57</v>
      </c>
      <c r="C5" s="1">
        <v>0.08</v>
      </c>
    </row>
    <row r="6" spans="1:5" x14ac:dyDescent="0.3">
      <c r="B6" s="1" t="s">
        <v>87</v>
      </c>
      <c r="C6" s="1">
        <v>0</v>
      </c>
    </row>
    <row r="7" spans="1:5" x14ac:dyDescent="0.3">
      <c r="E7" t="s">
        <v>88</v>
      </c>
    </row>
    <row r="8" spans="1:5" x14ac:dyDescent="0.3">
      <c r="A8" s="1">
        <v>1</v>
      </c>
      <c r="B8" s="1" t="s">
        <v>89</v>
      </c>
      <c r="C8" s="42"/>
      <c r="E8" s="63">
        <f>(1+C5/C4)^C4-1</f>
        <v>8.3277571792814031E-2</v>
      </c>
    </row>
    <row r="9" spans="1:5" x14ac:dyDescent="0.3">
      <c r="B9" s="1" t="s">
        <v>90</v>
      </c>
      <c r="C9" s="1">
        <v>12</v>
      </c>
      <c r="E9" t="s">
        <v>88</v>
      </c>
    </row>
    <row r="10" spans="1:5" x14ac:dyDescent="0.3">
      <c r="A10" s="1">
        <v>2</v>
      </c>
      <c r="B10" s="1" t="s">
        <v>91</v>
      </c>
      <c r="C10" s="42"/>
      <c r="E10">
        <f>(((1+C5/C4)^C4)^(1/C9)-1)*C9</f>
        <v>8.0258435774824832E-2</v>
      </c>
    </row>
    <row r="11" spans="1:5" x14ac:dyDescent="0.3">
      <c r="A11" s="1">
        <v>3</v>
      </c>
      <c r="B11" s="1" t="s">
        <v>92</v>
      </c>
      <c r="C11" s="42"/>
      <c r="E11">
        <f>((0.08327757+1)^(1/12) -1)*12</f>
        <v>8.0258434108765542E-2</v>
      </c>
    </row>
    <row r="12" spans="1:5" x14ac:dyDescent="0.3">
      <c r="A12" s="1">
        <v>4</v>
      </c>
      <c r="B12" s="1" t="s">
        <v>93</v>
      </c>
      <c r="C12" s="30"/>
    </row>
    <row r="13" spans="1:5" x14ac:dyDescent="0.3">
      <c r="B13" s="3" t="s">
        <v>262</v>
      </c>
      <c r="C13" s="197"/>
    </row>
    <row r="15" spans="1:5" ht="28.8" x14ac:dyDescent="0.3">
      <c r="A15" s="1">
        <v>5</v>
      </c>
      <c r="B15" s="58" t="str">
        <f>IF(C12="","","If we have a Savings Plan that compounds interest "&amp;C4&amp;" times a year, but we put "&amp;DOLLAR(-C2)&amp;" in only "&amp;C9&amp;" times a year, the Future Value would be "&amp;DOLLAR(C12)&amp;".")</f>
        <v/>
      </c>
      <c r="C15" s="59"/>
      <c r="D15" s="59"/>
      <c r="E15" s="60"/>
    </row>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
  <sheetViews>
    <sheetView zoomScale="130" zoomScaleNormal="130" workbookViewId="0">
      <selection activeCell="C17" sqref="C17"/>
    </sheetView>
  </sheetViews>
  <sheetFormatPr defaultRowHeight="14.4" x14ac:dyDescent="0.3"/>
  <cols>
    <col min="1" max="1" width="2" bestFit="1" customWidth="1"/>
    <col min="2" max="2" width="36.109375" bestFit="1" customWidth="1"/>
    <col min="3" max="3" width="12" bestFit="1" customWidth="1"/>
    <col min="4" max="4" width="10.88671875" customWidth="1"/>
    <col min="5" max="5" width="10" bestFit="1" customWidth="1"/>
    <col min="257" max="257" width="2" bestFit="1" customWidth="1"/>
    <col min="258" max="258" width="36.109375" bestFit="1" customWidth="1"/>
    <col min="259" max="259" width="12" bestFit="1" customWidth="1"/>
    <col min="260" max="260" width="10.88671875" customWidth="1"/>
    <col min="261" max="261" width="9.5546875" bestFit="1" customWidth="1"/>
    <col min="513" max="513" width="2" bestFit="1" customWidth="1"/>
    <col min="514" max="514" width="36.109375" bestFit="1" customWidth="1"/>
    <col min="515" max="515" width="12" bestFit="1" customWidth="1"/>
    <col min="516" max="516" width="10.88671875" customWidth="1"/>
    <col min="517" max="517" width="9.5546875" bestFit="1" customWidth="1"/>
    <col min="769" max="769" width="2" bestFit="1" customWidth="1"/>
    <col min="770" max="770" width="36.109375" bestFit="1" customWidth="1"/>
    <col min="771" max="771" width="12" bestFit="1" customWidth="1"/>
    <col min="772" max="772" width="10.88671875" customWidth="1"/>
    <col min="773" max="773" width="9.5546875" bestFit="1" customWidth="1"/>
    <col min="1025" max="1025" width="2" bestFit="1" customWidth="1"/>
    <col min="1026" max="1026" width="36.109375" bestFit="1" customWidth="1"/>
    <col min="1027" max="1027" width="12" bestFit="1" customWidth="1"/>
    <col min="1028" max="1028" width="10.88671875" customWidth="1"/>
    <col min="1029" max="1029" width="9.5546875" bestFit="1" customWidth="1"/>
    <col min="1281" max="1281" width="2" bestFit="1" customWidth="1"/>
    <col min="1282" max="1282" width="36.109375" bestFit="1" customWidth="1"/>
    <col min="1283" max="1283" width="12" bestFit="1" customWidth="1"/>
    <col min="1284" max="1284" width="10.88671875" customWidth="1"/>
    <col min="1285" max="1285" width="9.5546875" bestFit="1" customWidth="1"/>
    <col min="1537" max="1537" width="2" bestFit="1" customWidth="1"/>
    <col min="1538" max="1538" width="36.109375" bestFit="1" customWidth="1"/>
    <col min="1539" max="1539" width="12" bestFit="1" customWidth="1"/>
    <col min="1540" max="1540" width="10.88671875" customWidth="1"/>
    <col min="1541" max="1541" width="9.5546875" bestFit="1" customWidth="1"/>
    <col min="1793" max="1793" width="2" bestFit="1" customWidth="1"/>
    <col min="1794" max="1794" width="36.109375" bestFit="1" customWidth="1"/>
    <col min="1795" max="1795" width="12" bestFit="1" customWidth="1"/>
    <col min="1796" max="1796" width="10.88671875" customWidth="1"/>
    <col min="1797" max="1797" width="9.5546875" bestFit="1" customWidth="1"/>
    <col min="2049" max="2049" width="2" bestFit="1" customWidth="1"/>
    <col min="2050" max="2050" width="36.109375" bestFit="1" customWidth="1"/>
    <col min="2051" max="2051" width="12" bestFit="1" customWidth="1"/>
    <col min="2052" max="2052" width="10.88671875" customWidth="1"/>
    <col min="2053" max="2053" width="9.5546875" bestFit="1" customWidth="1"/>
    <col min="2305" max="2305" width="2" bestFit="1" customWidth="1"/>
    <col min="2306" max="2306" width="36.109375" bestFit="1" customWidth="1"/>
    <col min="2307" max="2307" width="12" bestFit="1" customWidth="1"/>
    <col min="2308" max="2308" width="10.88671875" customWidth="1"/>
    <col min="2309" max="2309" width="9.5546875" bestFit="1" customWidth="1"/>
    <col min="2561" max="2561" width="2" bestFit="1" customWidth="1"/>
    <col min="2562" max="2562" width="36.109375" bestFit="1" customWidth="1"/>
    <col min="2563" max="2563" width="12" bestFit="1" customWidth="1"/>
    <col min="2564" max="2564" width="10.88671875" customWidth="1"/>
    <col min="2565" max="2565" width="9.5546875" bestFit="1" customWidth="1"/>
    <col min="2817" max="2817" width="2" bestFit="1" customWidth="1"/>
    <col min="2818" max="2818" width="36.109375" bestFit="1" customWidth="1"/>
    <col min="2819" max="2819" width="12" bestFit="1" customWidth="1"/>
    <col min="2820" max="2820" width="10.88671875" customWidth="1"/>
    <col min="2821" max="2821" width="9.5546875" bestFit="1" customWidth="1"/>
    <col min="3073" max="3073" width="2" bestFit="1" customWidth="1"/>
    <col min="3074" max="3074" width="36.109375" bestFit="1" customWidth="1"/>
    <col min="3075" max="3075" width="12" bestFit="1" customWidth="1"/>
    <col min="3076" max="3076" width="10.88671875" customWidth="1"/>
    <col min="3077" max="3077" width="9.5546875" bestFit="1" customWidth="1"/>
    <col min="3329" max="3329" width="2" bestFit="1" customWidth="1"/>
    <col min="3330" max="3330" width="36.109375" bestFit="1" customWidth="1"/>
    <col min="3331" max="3331" width="12" bestFit="1" customWidth="1"/>
    <col min="3332" max="3332" width="10.88671875" customWidth="1"/>
    <col min="3333" max="3333" width="9.5546875" bestFit="1" customWidth="1"/>
    <col min="3585" max="3585" width="2" bestFit="1" customWidth="1"/>
    <col min="3586" max="3586" width="36.109375" bestFit="1" customWidth="1"/>
    <col min="3587" max="3587" width="12" bestFit="1" customWidth="1"/>
    <col min="3588" max="3588" width="10.88671875" customWidth="1"/>
    <col min="3589" max="3589" width="9.5546875" bestFit="1" customWidth="1"/>
    <col min="3841" max="3841" width="2" bestFit="1" customWidth="1"/>
    <col min="3842" max="3842" width="36.109375" bestFit="1" customWidth="1"/>
    <col min="3843" max="3843" width="12" bestFit="1" customWidth="1"/>
    <col min="3844" max="3844" width="10.88671875" customWidth="1"/>
    <col min="3845" max="3845" width="9.5546875" bestFit="1" customWidth="1"/>
    <col min="4097" max="4097" width="2" bestFit="1" customWidth="1"/>
    <col min="4098" max="4098" width="36.109375" bestFit="1" customWidth="1"/>
    <col min="4099" max="4099" width="12" bestFit="1" customWidth="1"/>
    <col min="4100" max="4100" width="10.88671875" customWidth="1"/>
    <col min="4101" max="4101" width="9.5546875" bestFit="1" customWidth="1"/>
    <col min="4353" max="4353" width="2" bestFit="1" customWidth="1"/>
    <col min="4354" max="4354" width="36.109375" bestFit="1" customWidth="1"/>
    <col min="4355" max="4355" width="12" bestFit="1" customWidth="1"/>
    <col min="4356" max="4356" width="10.88671875" customWidth="1"/>
    <col min="4357" max="4357" width="9.5546875" bestFit="1" customWidth="1"/>
    <col min="4609" max="4609" width="2" bestFit="1" customWidth="1"/>
    <col min="4610" max="4610" width="36.109375" bestFit="1" customWidth="1"/>
    <col min="4611" max="4611" width="12" bestFit="1" customWidth="1"/>
    <col min="4612" max="4612" width="10.88671875" customWidth="1"/>
    <col min="4613" max="4613" width="9.5546875" bestFit="1" customWidth="1"/>
    <col min="4865" max="4865" width="2" bestFit="1" customWidth="1"/>
    <col min="4866" max="4866" width="36.109375" bestFit="1" customWidth="1"/>
    <col min="4867" max="4867" width="12" bestFit="1" customWidth="1"/>
    <col min="4868" max="4868" width="10.88671875" customWidth="1"/>
    <col min="4869" max="4869" width="9.5546875" bestFit="1" customWidth="1"/>
    <col min="5121" max="5121" width="2" bestFit="1" customWidth="1"/>
    <col min="5122" max="5122" width="36.109375" bestFit="1" customWidth="1"/>
    <col min="5123" max="5123" width="12" bestFit="1" customWidth="1"/>
    <col min="5124" max="5124" width="10.88671875" customWidth="1"/>
    <col min="5125" max="5125" width="9.5546875" bestFit="1" customWidth="1"/>
    <col min="5377" max="5377" width="2" bestFit="1" customWidth="1"/>
    <col min="5378" max="5378" width="36.109375" bestFit="1" customWidth="1"/>
    <col min="5379" max="5379" width="12" bestFit="1" customWidth="1"/>
    <col min="5380" max="5380" width="10.88671875" customWidth="1"/>
    <col min="5381" max="5381" width="9.5546875" bestFit="1" customWidth="1"/>
    <col min="5633" max="5633" width="2" bestFit="1" customWidth="1"/>
    <col min="5634" max="5634" width="36.109375" bestFit="1" customWidth="1"/>
    <col min="5635" max="5635" width="12" bestFit="1" customWidth="1"/>
    <col min="5636" max="5636" width="10.88671875" customWidth="1"/>
    <col min="5637" max="5637" width="9.5546875" bestFit="1" customWidth="1"/>
    <col min="5889" max="5889" width="2" bestFit="1" customWidth="1"/>
    <col min="5890" max="5890" width="36.109375" bestFit="1" customWidth="1"/>
    <col min="5891" max="5891" width="12" bestFit="1" customWidth="1"/>
    <col min="5892" max="5892" width="10.88671875" customWidth="1"/>
    <col min="5893" max="5893" width="9.5546875" bestFit="1" customWidth="1"/>
    <col min="6145" max="6145" width="2" bestFit="1" customWidth="1"/>
    <col min="6146" max="6146" width="36.109375" bestFit="1" customWidth="1"/>
    <col min="6147" max="6147" width="12" bestFit="1" customWidth="1"/>
    <col min="6148" max="6148" width="10.88671875" customWidth="1"/>
    <col min="6149" max="6149" width="9.5546875" bestFit="1" customWidth="1"/>
    <col min="6401" max="6401" width="2" bestFit="1" customWidth="1"/>
    <col min="6402" max="6402" width="36.109375" bestFit="1" customWidth="1"/>
    <col min="6403" max="6403" width="12" bestFit="1" customWidth="1"/>
    <col min="6404" max="6404" width="10.88671875" customWidth="1"/>
    <col min="6405" max="6405" width="9.5546875" bestFit="1" customWidth="1"/>
    <col min="6657" max="6657" width="2" bestFit="1" customWidth="1"/>
    <col min="6658" max="6658" width="36.109375" bestFit="1" customWidth="1"/>
    <col min="6659" max="6659" width="12" bestFit="1" customWidth="1"/>
    <col min="6660" max="6660" width="10.88671875" customWidth="1"/>
    <col min="6661" max="6661" width="9.5546875" bestFit="1" customWidth="1"/>
    <col min="6913" max="6913" width="2" bestFit="1" customWidth="1"/>
    <col min="6914" max="6914" width="36.109375" bestFit="1" customWidth="1"/>
    <col min="6915" max="6915" width="12" bestFit="1" customWidth="1"/>
    <col min="6916" max="6916" width="10.88671875" customWidth="1"/>
    <col min="6917" max="6917" width="9.5546875" bestFit="1" customWidth="1"/>
    <col min="7169" max="7169" width="2" bestFit="1" customWidth="1"/>
    <col min="7170" max="7170" width="36.109375" bestFit="1" customWidth="1"/>
    <col min="7171" max="7171" width="12" bestFit="1" customWidth="1"/>
    <col min="7172" max="7172" width="10.88671875" customWidth="1"/>
    <col min="7173" max="7173" width="9.5546875" bestFit="1" customWidth="1"/>
    <col min="7425" max="7425" width="2" bestFit="1" customWidth="1"/>
    <col min="7426" max="7426" width="36.109375" bestFit="1" customWidth="1"/>
    <col min="7427" max="7427" width="12" bestFit="1" customWidth="1"/>
    <col min="7428" max="7428" width="10.88671875" customWidth="1"/>
    <col min="7429" max="7429" width="9.5546875" bestFit="1" customWidth="1"/>
    <col min="7681" max="7681" width="2" bestFit="1" customWidth="1"/>
    <col min="7682" max="7682" width="36.109375" bestFit="1" customWidth="1"/>
    <col min="7683" max="7683" width="12" bestFit="1" customWidth="1"/>
    <col min="7684" max="7684" width="10.88671875" customWidth="1"/>
    <col min="7685" max="7685" width="9.5546875" bestFit="1" customWidth="1"/>
    <col min="7937" max="7937" width="2" bestFit="1" customWidth="1"/>
    <col min="7938" max="7938" width="36.109375" bestFit="1" customWidth="1"/>
    <col min="7939" max="7939" width="12" bestFit="1" customWidth="1"/>
    <col min="7940" max="7940" width="10.88671875" customWidth="1"/>
    <col min="7941" max="7941" width="9.5546875" bestFit="1" customWidth="1"/>
    <col min="8193" max="8193" width="2" bestFit="1" customWidth="1"/>
    <col min="8194" max="8194" width="36.109375" bestFit="1" customWidth="1"/>
    <col min="8195" max="8195" width="12" bestFit="1" customWidth="1"/>
    <col min="8196" max="8196" width="10.88671875" customWidth="1"/>
    <col min="8197" max="8197" width="9.5546875" bestFit="1" customWidth="1"/>
    <col min="8449" max="8449" width="2" bestFit="1" customWidth="1"/>
    <col min="8450" max="8450" width="36.109375" bestFit="1" customWidth="1"/>
    <col min="8451" max="8451" width="12" bestFit="1" customWidth="1"/>
    <col min="8452" max="8452" width="10.88671875" customWidth="1"/>
    <col min="8453" max="8453" width="9.5546875" bestFit="1" customWidth="1"/>
    <col min="8705" max="8705" width="2" bestFit="1" customWidth="1"/>
    <col min="8706" max="8706" width="36.109375" bestFit="1" customWidth="1"/>
    <col min="8707" max="8707" width="12" bestFit="1" customWidth="1"/>
    <col min="8708" max="8708" width="10.88671875" customWidth="1"/>
    <col min="8709" max="8709" width="9.5546875" bestFit="1" customWidth="1"/>
    <col min="8961" max="8961" width="2" bestFit="1" customWidth="1"/>
    <col min="8962" max="8962" width="36.109375" bestFit="1" customWidth="1"/>
    <col min="8963" max="8963" width="12" bestFit="1" customWidth="1"/>
    <col min="8964" max="8964" width="10.88671875" customWidth="1"/>
    <col min="8965" max="8965" width="9.5546875" bestFit="1" customWidth="1"/>
    <col min="9217" max="9217" width="2" bestFit="1" customWidth="1"/>
    <col min="9218" max="9218" width="36.109375" bestFit="1" customWidth="1"/>
    <col min="9219" max="9219" width="12" bestFit="1" customWidth="1"/>
    <col min="9220" max="9220" width="10.88671875" customWidth="1"/>
    <col min="9221" max="9221" width="9.5546875" bestFit="1" customWidth="1"/>
    <col min="9473" max="9473" width="2" bestFit="1" customWidth="1"/>
    <col min="9474" max="9474" width="36.109375" bestFit="1" customWidth="1"/>
    <col min="9475" max="9475" width="12" bestFit="1" customWidth="1"/>
    <col min="9476" max="9476" width="10.88671875" customWidth="1"/>
    <col min="9477" max="9477" width="9.5546875" bestFit="1" customWidth="1"/>
    <col min="9729" max="9729" width="2" bestFit="1" customWidth="1"/>
    <col min="9730" max="9730" width="36.109375" bestFit="1" customWidth="1"/>
    <col min="9731" max="9731" width="12" bestFit="1" customWidth="1"/>
    <col min="9732" max="9732" width="10.88671875" customWidth="1"/>
    <col min="9733" max="9733" width="9.5546875" bestFit="1" customWidth="1"/>
    <col min="9985" max="9985" width="2" bestFit="1" customWidth="1"/>
    <col min="9986" max="9986" width="36.109375" bestFit="1" customWidth="1"/>
    <col min="9987" max="9987" width="12" bestFit="1" customWidth="1"/>
    <col min="9988" max="9988" width="10.88671875" customWidth="1"/>
    <col min="9989" max="9989" width="9.5546875" bestFit="1" customWidth="1"/>
    <col min="10241" max="10241" width="2" bestFit="1" customWidth="1"/>
    <col min="10242" max="10242" width="36.109375" bestFit="1" customWidth="1"/>
    <col min="10243" max="10243" width="12" bestFit="1" customWidth="1"/>
    <col min="10244" max="10244" width="10.88671875" customWidth="1"/>
    <col min="10245" max="10245" width="9.5546875" bestFit="1" customWidth="1"/>
    <col min="10497" max="10497" width="2" bestFit="1" customWidth="1"/>
    <col min="10498" max="10498" width="36.109375" bestFit="1" customWidth="1"/>
    <col min="10499" max="10499" width="12" bestFit="1" customWidth="1"/>
    <col min="10500" max="10500" width="10.88671875" customWidth="1"/>
    <col min="10501" max="10501" width="9.5546875" bestFit="1" customWidth="1"/>
    <col min="10753" max="10753" width="2" bestFit="1" customWidth="1"/>
    <col min="10754" max="10754" width="36.109375" bestFit="1" customWidth="1"/>
    <col min="10755" max="10755" width="12" bestFit="1" customWidth="1"/>
    <col min="10756" max="10756" width="10.88671875" customWidth="1"/>
    <col min="10757" max="10757" width="9.5546875" bestFit="1" customWidth="1"/>
    <col min="11009" max="11009" width="2" bestFit="1" customWidth="1"/>
    <col min="11010" max="11010" width="36.109375" bestFit="1" customWidth="1"/>
    <col min="11011" max="11011" width="12" bestFit="1" customWidth="1"/>
    <col min="11012" max="11012" width="10.88671875" customWidth="1"/>
    <col min="11013" max="11013" width="9.5546875" bestFit="1" customWidth="1"/>
    <col min="11265" max="11265" width="2" bestFit="1" customWidth="1"/>
    <col min="11266" max="11266" width="36.109375" bestFit="1" customWidth="1"/>
    <col min="11267" max="11267" width="12" bestFit="1" customWidth="1"/>
    <col min="11268" max="11268" width="10.88671875" customWidth="1"/>
    <col min="11269" max="11269" width="9.5546875" bestFit="1" customWidth="1"/>
    <col min="11521" max="11521" width="2" bestFit="1" customWidth="1"/>
    <col min="11522" max="11522" width="36.109375" bestFit="1" customWidth="1"/>
    <col min="11523" max="11523" width="12" bestFit="1" customWidth="1"/>
    <col min="11524" max="11524" width="10.88671875" customWidth="1"/>
    <col min="11525" max="11525" width="9.5546875" bestFit="1" customWidth="1"/>
    <col min="11777" max="11777" width="2" bestFit="1" customWidth="1"/>
    <col min="11778" max="11778" width="36.109375" bestFit="1" customWidth="1"/>
    <col min="11779" max="11779" width="12" bestFit="1" customWidth="1"/>
    <col min="11780" max="11780" width="10.88671875" customWidth="1"/>
    <col min="11781" max="11781" width="9.5546875" bestFit="1" customWidth="1"/>
    <col min="12033" max="12033" width="2" bestFit="1" customWidth="1"/>
    <col min="12034" max="12034" width="36.109375" bestFit="1" customWidth="1"/>
    <col min="12035" max="12035" width="12" bestFit="1" customWidth="1"/>
    <col min="12036" max="12036" width="10.88671875" customWidth="1"/>
    <col min="12037" max="12037" width="9.5546875" bestFit="1" customWidth="1"/>
    <col min="12289" max="12289" width="2" bestFit="1" customWidth="1"/>
    <col min="12290" max="12290" width="36.109375" bestFit="1" customWidth="1"/>
    <col min="12291" max="12291" width="12" bestFit="1" customWidth="1"/>
    <col min="12292" max="12292" width="10.88671875" customWidth="1"/>
    <col min="12293" max="12293" width="9.5546875" bestFit="1" customWidth="1"/>
    <col min="12545" max="12545" width="2" bestFit="1" customWidth="1"/>
    <col min="12546" max="12546" width="36.109375" bestFit="1" customWidth="1"/>
    <col min="12547" max="12547" width="12" bestFit="1" customWidth="1"/>
    <col min="12548" max="12548" width="10.88671875" customWidth="1"/>
    <col min="12549" max="12549" width="9.5546875" bestFit="1" customWidth="1"/>
    <col min="12801" max="12801" width="2" bestFit="1" customWidth="1"/>
    <col min="12802" max="12802" width="36.109375" bestFit="1" customWidth="1"/>
    <col min="12803" max="12803" width="12" bestFit="1" customWidth="1"/>
    <col min="12804" max="12804" width="10.88671875" customWidth="1"/>
    <col min="12805" max="12805" width="9.5546875" bestFit="1" customWidth="1"/>
    <col min="13057" max="13057" width="2" bestFit="1" customWidth="1"/>
    <col min="13058" max="13058" width="36.109375" bestFit="1" customWidth="1"/>
    <col min="13059" max="13059" width="12" bestFit="1" customWidth="1"/>
    <col min="13060" max="13060" width="10.88671875" customWidth="1"/>
    <col min="13061" max="13061" width="9.5546875" bestFit="1" customWidth="1"/>
    <col min="13313" max="13313" width="2" bestFit="1" customWidth="1"/>
    <col min="13314" max="13314" width="36.109375" bestFit="1" customWidth="1"/>
    <col min="13315" max="13315" width="12" bestFit="1" customWidth="1"/>
    <col min="13316" max="13316" width="10.88671875" customWidth="1"/>
    <col min="13317" max="13317" width="9.5546875" bestFit="1" customWidth="1"/>
    <col min="13569" max="13569" width="2" bestFit="1" customWidth="1"/>
    <col min="13570" max="13570" width="36.109375" bestFit="1" customWidth="1"/>
    <col min="13571" max="13571" width="12" bestFit="1" customWidth="1"/>
    <col min="13572" max="13572" width="10.88671875" customWidth="1"/>
    <col min="13573" max="13573" width="9.5546875" bestFit="1" customWidth="1"/>
    <col min="13825" max="13825" width="2" bestFit="1" customWidth="1"/>
    <col min="13826" max="13826" width="36.109375" bestFit="1" customWidth="1"/>
    <col min="13827" max="13827" width="12" bestFit="1" customWidth="1"/>
    <col min="13828" max="13828" width="10.88671875" customWidth="1"/>
    <col min="13829" max="13829" width="9.5546875" bestFit="1" customWidth="1"/>
    <col min="14081" max="14081" width="2" bestFit="1" customWidth="1"/>
    <col min="14082" max="14082" width="36.109375" bestFit="1" customWidth="1"/>
    <col min="14083" max="14083" width="12" bestFit="1" customWidth="1"/>
    <col min="14084" max="14084" width="10.88671875" customWidth="1"/>
    <col min="14085" max="14085" width="9.5546875" bestFit="1" customWidth="1"/>
    <col min="14337" max="14337" width="2" bestFit="1" customWidth="1"/>
    <col min="14338" max="14338" width="36.109375" bestFit="1" customWidth="1"/>
    <col min="14339" max="14339" width="12" bestFit="1" customWidth="1"/>
    <col min="14340" max="14340" width="10.88671875" customWidth="1"/>
    <col min="14341" max="14341" width="9.5546875" bestFit="1" customWidth="1"/>
    <col min="14593" max="14593" width="2" bestFit="1" customWidth="1"/>
    <col min="14594" max="14594" width="36.109375" bestFit="1" customWidth="1"/>
    <col min="14595" max="14595" width="12" bestFit="1" customWidth="1"/>
    <col min="14596" max="14596" width="10.88671875" customWidth="1"/>
    <col min="14597" max="14597" width="9.5546875" bestFit="1" customWidth="1"/>
    <col min="14849" max="14849" width="2" bestFit="1" customWidth="1"/>
    <col min="14850" max="14850" width="36.109375" bestFit="1" customWidth="1"/>
    <col min="14851" max="14851" width="12" bestFit="1" customWidth="1"/>
    <col min="14852" max="14852" width="10.88671875" customWidth="1"/>
    <col min="14853" max="14853" width="9.5546875" bestFit="1" customWidth="1"/>
    <col min="15105" max="15105" width="2" bestFit="1" customWidth="1"/>
    <col min="15106" max="15106" width="36.109375" bestFit="1" customWidth="1"/>
    <col min="15107" max="15107" width="12" bestFit="1" customWidth="1"/>
    <col min="15108" max="15108" width="10.88671875" customWidth="1"/>
    <col min="15109" max="15109" width="9.5546875" bestFit="1" customWidth="1"/>
    <col min="15361" max="15361" width="2" bestFit="1" customWidth="1"/>
    <col min="15362" max="15362" width="36.109375" bestFit="1" customWidth="1"/>
    <col min="15363" max="15363" width="12" bestFit="1" customWidth="1"/>
    <col min="15364" max="15364" width="10.88671875" customWidth="1"/>
    <col min="15365" max="15365" width="9.5546875" bestFit="1" customWidth="1"/>
    <col min="15617" max="15617" width="2" bestFit="1" customWidth="1"/>
    <col min="15618" max="15618" width="36.109375" bestFit="1" customWidth="1"/>
    <col min="15619" max="15619" width="12" bestFit="1" customWidth="1"/>
    <col min="15620" max="15620" width="10.88671875" customWidth="1"/>
    <col min="15621" max="15621" width="9.5546875" bestFit="1" customWidth="1"/>
    <col min="15873" max="15873" width="2" bestFit="1" customWidth="1"/>
    <col min="15874" max="15874" width="36.109375" bestFit="1" customWidth="1"/>
    <col min="15875" max="15875" width="12" bestFit="1" customWidth="1"/>
    <col min="15876" max="15876" width="10.88671875" customWidth="1"/>
    <col min="15877" max="15877" width="9.5546875" bestFit="1" customWidth="1"/>
    <col min="16129" max="16129" width="2" bestFit="1" customWidth="1"/>
    <col min="16130" max="16130" width="36.109375" bestFit="1" customWidth="1"/>
    <col min="16131" max="16131" width="12" bestFit="1" customWidth="1"/>
    <col min="16132" max="16132" width="10.88671875" customWidth="1"/>
    <col min="16133" max="16133" width="9.5546875" bestFit="1" customWidth="1"/>
  </cols>
  <sheetData>
    <row r="1" spans="1:5" ht="28.8" x14ac:dyDescent="0.3">
      <c r="B1" s="142" t="str">
        <f>"Savings Plan that compounds interest "&amp;C4&amp;" times a year, but you put money in "&amp;C9&amp;" times a year."</f>
        <v>Savings Plan that compounds interest 365 times a year, but you put money in 12 times a year.</v>
      </c>
      <c r="C1" s="143"/>
      <c r="D1" s="144"/>
      <c r="E1" s="141"/>
    </row>
    <row r="2" spans="1:5" x14ac:dyDescent="0.3">
      <c r="B2" s="1" t="s">
        <v>84</v>
      </c>
      <c r="C2" s="1">
        <v>-250</v>
      </c>
    </row>
    <row r="3" spans="1:5" x14ac:dyDescent="0.3">
      <c r="B3" s="1" t="s">
        <v>85</v>
      </c>
      <c r="C3" s="1">
        <v>25</v>
      </c>
    </row>
    <row r="4" spans="1:5" x14ac:dyDescent="0.3">
      <c r="B4" s="1" t="s">
        <v>86</v>
      </c>
      <c r="C4" s="1">
        <v>365</v>
      </c>
    </row>
    <row r="5" spans="1:5" x14ac:dyDescent="0.3">
      <c r="B5" s="1" t="s">
        <v>57</v>
      </c>
      <c r="C5" s="1">
        <v>0.08</v>
      </c>
    </row>
    <row r="6" spans="1:5" x14ac:dyDescent="0.3">
      <c r="B6" s="1" t="s">
        <v>87</v>
      </c>
      <c r="C6" s="1">
        <v>0</v>
      </c>
    </row>
    <row r="7" spans="1:5" x14ac:dyDescent="0.3">
      <c r="E7" t="s">
        <v>88</v>
      </c>
    </row>
    <row r="8" spans="1:5" x14ac:dyDescent="0.3">
      <c r="A8" s="1">
        <v>1</v>
      </c>
      <c r="B8" s="1" t="s">
        <v>89</v>
      </c>
      <c r="C8" s="42">
        <f>EFFECT(C5,C4)</f>
        <v>8.3277571792814031E-2</v>
      </c>
      <c r="E8" s="63">
        <f>(1+C5/C4)^C4-1</f>
        <v>8.3277571792814031E-2</v>
      </c>
    </row>
    <row r="9" spans="1:5" x14ac:dyDescent="0.3">
      <c r="B9" s="1" t="s">
        <v>90</v>
      </c>
      <c r="C9" s="1">
        <v>12</v>
      </c>
      <c r="E9" t="s">
        <v>88</v>
      </c>
    </row>
    <row r="10" spans="1:5" x14ac:dyDescent="0.3">
      <c r="A10" s="1">
        <v>2</v>
      </c>
      <c r="B10" s="1" t="s">
        <v>91</v>
      </c>
      <c r="C10" s="42">
        <f>NOMINAL(C8,C9)</f>
        <v>8.0258435774824832E-2</v>
      </c>
      <c r="E10">
        <f>(((1+C5/C4)^C4)^(1/C9)-1)*C9</f>
        <v>8.0258435774824832E-2</v>
      </c>
    </row>
    <row r="11" spans="1:5" x14ac:dyDescent="0.3">
      <c r="A11" s="1">
        <v>3</v>
      </c>
      <c r="B11" s="1" t="s">
        <v>92</v>
      </c>
      <c r="C11" s="42">
        <f>C10/C9</f>
        <v>6.6882029812354027E-3</v>
      </c>
      <c r="E11">
        <f>((0.08327757+1)^(1/12) -1)*12</f>
        <v>8.0258434108765542E-2</v>
      </c>
    </row>
    <row r="12" spans="1:5" x14ac:dyDescent="0.3">
      <c r="A12" s="1">
        <v>4</v>
      </c>
      <c r="B12" s="1" t="s">
        <v>93</v>
      </c>
      <c r="C12" s="30">
        <f>FV(C11,C9*C3,C2)</f>
        <v>238757.59347195391</v>
      </c>
    </row>
    <row r="13" spans="1:5" x14ac:dyDescent="0.3">
      <c r="B13" s="3" t="s">
        <v>262</v>
      </c>
      <c r="C13" s="197">
        <f>C9*C3*C2</f>
        <v>-75000</v>
      </c>
    </row>
    <row r="15" spans="1:5" ht="28.8" x14ac:dyDescent="0.3">
      <c r="A15" s="1">
        <v>5</v>
      </c>
      <c r="B15" s="58" t="str">
        <f>IF(C12="","","If we have a Savings Plan that compounds interest "&amp;C4&amp;" times a year, but we put "&amp;DOLLAR(-C2)&amp;" in only "&amp;C9&amp;" times a year, the Future Value would be "&amp;DOLLAR(C12)&amp;".")</f>
        <v>If we have a Savings Plan that compounds interest 365 times a year, but we put $250.00 in only 12 times a year, the Future Value would be $238,757.59.</v>
      </c>
      <c r="C15" s="59"/>
      <c r="D15" s="59"/>
      <c r="E15" s="6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22"/>
  <sheetViews>
    <sheetView zoomScaleNormal="100" workbookViewId="0">
      <selection activeCell="C4" sqref="C4"/>
    </sheetView>
  </sheetViews>
  <sheetFormatPr defaultRowHeight="14.4" x14ac:dyDescent="0.3"/>
  <cols>
    <col min="1" max="1" width="23.5546875" customWidth="1"/>
    <col min="2" max="2" width="10.88671875" customWidth="1"/>
    <col min="3" max="3" width="15.33203125" customWidth="1"/>
    <col min="4" max="4" width="14.109375" customWidth="1"/>
    <col min="6" max="6" width="11.44140625" bestFit="1" customWidth="1"/>
    <col min="8" max="8" width="10.6640625" bestFit="1" customWidth="1"/>
    <col min="10" max="10" width="10.6640625" bestFit="1" customWidth="1"/>
  </cols>
  <sheetData>
    <row r="1" spans="1:6" x14ac:dyDescent="0.3">
      <c r="A1" s="8" t="s">
        <v>9</v>
      </c>
      <c r="B1" s="1" t="s">
        <v>2</v>
      </c>
      <c r="C1" s="4">
        <v>0.1</v>
      </c>
    </row>
    <row r="2" spans="1:6" ht="28.95" x14ac:dyDescent="0.3">
      <c r="A2" s="8" t="s">
        <v>27</v>
      </c>
      <c r="B2" s="1" t="s">
        <v>3</v>
      </c>
      <c r="C2" s="3">
        <v>2</v>
      </c>
    </row>
    <row r="3" spans="1:6" x14ac:dyDescent="0.3">
      <c r="A3" s="8" t="s">
        <v>10</v>
      </c>
      <c r="B3" s="1" t="s">
        <v>4</v>
      </c>
      <c r="C3" s="3">
        <v>5</v>
      </c>
    </row>
    <row r="4" spans="1:6" x14ac:dyDescent="0.3">
      <c r="A4" s="8" t="s">
        <v>11</v>
      </c>
      <c r="B4" s="1" t="s">
        <v>5</v>
      </c>
      <c r="C4" s="2"/>
    </row>
    <row r="5" spans="1:6" x14ac:dyDescent="0.3">
      <c r="A5" s="8" t="s">
        <v>12</v>
      </c>
      <c r="B5" s="1" t="s">
        <v>6</v>
      </c>
      <c r="C5" s="2"/>
    </row>
    <row r="6" spans="1:6" x14ac:dyDescent="0.3">
      <c r="A6" s="8" t="s">
        <v>8</v>
      </c>
      <c r="B6" s="1" t="s">
        <v>1</v>
      </c>
      <c r="C6" s="18"/>
    </row>
    <row r="7" spans="1:6" x14ac:dyDescent="0.3">
      <c r="A7" s="16"/>
      <c r="B7" s="5"/>
    </row>
    <row r="8" spans="1:6" ht="43.2" x14ac:dyDescent="0.3">
      <c r="A8" s="11" t="s">
        <v>25</v>
      </c>
      <c r="B8" s="11" t="s">
        <v>29</v>
      </c>
      <c r="C8" s="11" t="s">
        <v>30</v>
      </c>
      <c r="D8" s="11" t="s">
        <v>28</v>
      </c>
      <c r="F8" s="11" t="s">
        <v>13</v>
      </c>
    </row>
    <row r="9" spans="1:6" x14ac:dyDescent="0.3">
      <c r="A9" s="9" t="s">
        <v>14</v>
      </c>
      <c r="B9" s="1">
        <v>10</v>
      </c>
      <c r="C9" s="14">
        <v>-1000</v>
      </c>
      <c r="D9" s="18"/>
      <c r="F9" s="18"/>
    </row>
    <row r="10" spans="1:6" x14ac:dyDescent="0.3">
      <c r="A10" s="9" t="s">
        <v>15</v>
      </c>
      <c r="B10" s="1">
        <v>9</v>
      </c>
      <c r="C10" s="14">
        <v>0</v>
      </c>
      <c r="D10" s="18"/>
      <c r="F10" s="18"/>
    </row>
    <row r="11" spans="1:6" x14ac:dyDescent="0.3">
      <c r="A11" s="9" t="s">
        <v>16</v>
      </c>
      <c r="B11" s="1">
        <v>8</v>
      </c>
      <c r="C11" s="14">
        <v>0</v>
      </c>
      <c r="D11" s="18"/>
      <c r="F11" s="18"/>
    </row>
    <row r="12" spans="1:6" x14ac:dyDescent="0.3">
      <c r="A12" s="9" t="s">
        <v>17</v>
      </c>
      <c r="B12" s="1">
        <v>7</v>
      </c>
      <c r="C12" s="14">
        <v>0</v>
      </c>
      <c r="D12" s="18"/>
      <c r="F12" s="18"/>
    </row>
    <row r="13" spans="1:6" x14ac:dyDescent="0.3">
      <c r="A13" s="9" t="s">
        <v>18</v>
      </c>
      <c r="B13" s="1">
        <v>6</v>
      </c>
      <c r="C13" s="14">
        <v>-2000</v>
      </c>
      <c r="D13" s="18"/>
      <c r="F13" s="18"/>
    </row>
    <row r="14" spans="1:6" x14ac:dyDescent="0.3">
      <c r="A14" s="9" t="s">
        <v>19</v>
      </c>
      <c r="B14" s="1">
        <v>5</v>
      </c>
      <c r="C14" s="14">
        <v>0</v>
      </c>
      <c r="D14" s="18"/>
      <c r="F14" s="18"/>
    </row>
    <row r="15" spans="1:6" x14ac:dyDescent="0.3">
      <c r="A15" s="9" t="s">
        <v>20</v>
      </c>
      <c r="B15" s="1">
        <v>4</v>
      </c>
      <c r="C15" s="14">
        <v>-6000</v>
      </c>
      <c r="D15" s="18"/>
      <c r="F15" s="18"/>
    </row>
    <row r="16" spans="1:6" x14ac:dyDescent="0.3">
      <c r="A16" s="9" t="s">
        <v>21</v>
      </c>
      <c r="B16" s="1">
        <v>3</v>
      </c>
      <c r="C16" s="14">
        <v>0</v>
      </c>
      <c r="D16" s="18"/>
      <c r="F16" s="18"/>
    </row>
    <row r="17" spans="1:10" x14ac:dyDescent="0.3">
      <c r="A17" s="9" t="s">
        <v>22</v>
      </c>
      <c r="B17" s="1">
        <v>2</v>
      </c>
      <c r="C17" s="14">
        <v>0</v>
      </c>
      <c r="D17" s="18"/>
      <c r="F17" s="18"/>
    </row>
    <row r="18" spans="1:10" x14ac:dyDescent="0.3">
      <c r="A18" s="9" t="s">
        <v>23</v>
      </c>
      <c r="B18" s="1">
        <v>1</v>
      </c>
      <c r="C18" s="14">
        <v>0</v>
      </c>
      <c r="D18" s="18"/>
      <c r="F18" s="18"/>
    </row>
    <row r="19" spans="1:10" x14ac:dyDescent="0.3">
      <c r="A19" s="9" t="s">
        <v>24</v>
      </c>
      <c r="B19" s="1">
        <v>0</v>
      </c>
      <c r="C19" s="14">
        <v>0</v>
      </c>
      <c r="D19" s="18"/>
      <c r="F19" s="18"/>
    </row>
    <row r="20" spans="1:10" x14ac:dyDescent="0.3">
      <c r="J20" t="s">
        <v>13</v>
      </c>
    </row>
    <row r="21" spans="1:10" x14ac:dyDescent="0.3">
      <c r="F21" s="9"/>
      <c r="J21" s="12"/>
    </row>
    <row r="22" spans="1:10" ht="28.8" x14ac:dyDescent="0.3">
      <c r="A22" s="15"/>
      <c r="C22" s="17" t="s">
        <v>33</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1"/>
  <sheetViews>
    <sheetView zoomScale="115" zoomScaleNormal="115" workbookViewId="0">
      <selection activeCell="B6" sqref="B6"/>
    </sheetView>
  </sheetViews>
  <sheetFormatPr defaultRowHeight="14.4" x14ac:dyDescent="0.3"/>
  <cols>
    <col min="1" max="1" width="27.109375" bestFit="1" customWidth="1"/>
    <col min="2" max="2" width="25" bestFit="1" customWidth="1"/>
    <col min="257" max="257" width="23.6640625" customWidth="1"/>
    <col min="258" max="258" width="25" bestFit="1" customWidth="1"/>
    <col min="513" max="513" width="23.6640625" customWidth="1"/>
    <col min="514" max="514" width="25" bestFit="1" customWidth="1"/>
    <col min="769" max="769" width="23.6640625" customWidth="1"/>
    <col min="770" max="770" width="25" bestFit="1" customWidth="1"/>
    <col min="1025" max="1025" width="23.6640625" customWidth="1"/>
    <col min="1026" max="1026" width="25" bestFit="1" customWidth="1"/>
    <col min="1281" max="1281" width="23.6640625" customWidth="1"/>
    <col min="1282" max="1282" width="25" bestFit="1" customWidth="1"/>
    <col min="1537" max="1537" width="23.6640625" customWidth="1"/>
    <col min="1538" max="1538" width="25" bestFit="1" customWidth="1"/>
    <col min="1793" max="1793" width="23.6640625" customWidth="1"/>
    <col min="1794" max="1794" width="25" bestFit="1" customWidth="1"/>
    <col min="2049" max="2049" width="23.6640625" customWidth="1"/>
    <col min="2050" max="2050" width="25" bestFit="1" customWidth="1"/>
    <col min="2305" max="2305" width="23.6640625" customWidth="1"/>
    <col min="2306" max="2306" width="25" bestFit="1" customWidth="1"/>
    <col min="2561" max="2561" width="23.6640625" customWidth="1"/>
    <col min="2562" max="2562" width="25" bestFit="1" customWidth="1"/>
    <col min="2817" max="2817" width="23.6640625" customWidth="1"/>
    <col min="2818" max="2818" width="25" bestFit="1" customWidth="1"/>
    <col min="3073" max="3073" width="23.6640625" customWidth="1"/>
    <col min="3074" max="3074" width="25" bestFit="1" customWidth="1"/>
    <col min="3329" max="3329" width="23.6640625" customWidth="1"/>
    <col min="3330" max="3330" width="25" bestFit="1" customWidth="1"/>
    <col min="3585" max="3585" width="23.6640625" customWidth="1"/>
    <col min="3586" max="3586" width="25" bestFit="1" customWidth="1"/>
    <col min="3841" max="3841" width="23.6640625" customWidth="1"/>
    <col min="3842" max="3842" width="25" bestFit="1" customWidth="1"/>
    <col min="4097" max="4097" width="23.6640625" customWidth="1"/>
    <col min="4098" max="4098" width="25" bestFit="1" customWidth="1"/>
    <col min="4353" max="4353" width="23.6640625" customWidth="1"/>
    <col min="4354" max="4354" width="25" bestFit="1" customWidth="1"/>
    <col min="4609" max="4609" width="23.6640625" customWidth="1"/>
    <col min="4610" max="4610" width="25" bestFit="1" customWidth="1"/>
    <col min="4865" max="4865" width="23.6640625" customWidth="1"/>
    <col min="4866" max="4866" width="25" bestFit="1" customWidth="1"/>
    <col min="5121" max="5121" width="23.6640625" customWidth="1"/>
    <col min="5122" max="5122" width="25" bestFit="1" customWidth="1"/>
    <col min="5377" max="5377" width="23.6640625" customWidth="1"/>
    <col min="5378" max="5378" width="25" bestFit="1" customWidth="1"/>
    <col min="5633" max="5633" width="23.6640625" customWidth="1"/>
    <col min="5634" max="5634" width="25" bestFit="1" customWidth="1"/>
    <col min="5889" max="5889" width="23.6640625" customWidth="1"/>
    <col min="5890" max="5890" width="25" bestFit="1" customWidth="1"/>
    <col min="6145" max="6145" width="23.6640625" customWidth="1"/>
    <col min="6146" max="6146" width="25" bestFit="1" customWidth="1"/>
    <col min="6401" max="6401" width="23.6640625" customWidth="1"/>
    <col min="6402" max="6402" width="25" bestFit="1" customWidth="1"/>
    <col min="6657" max="6657" width="23.6640625" customWidth="1"/>
    <col min="6658" max="6658" width="25" bestFit="1" customWidth="1"/>
    <col min="6913" max="6913" width="23.6640625" customWidth="1"/>
    <col min="6914" max="6914" width="25" bestFit="1" customWidth="1"/>
    <col min="7169" max="7169" width="23.6640625" customWidth="1"/>
    <col min="7170" max="7170" width="25" bestFit="1" customWidth="1"/>
    <col min="7425" max="7425" width="23.6640625" customWidth="1"/>
    <col min="7426" max="7426" width="25" bestFit="1" customWidth="1"/>
    <col min="7681" max="7681" width="23.6640625" customWidth="1"/>
    <col min="7682" max="7682" width="25" bestFit="1" customWidth="1"/>
    <col min="7937" max="7937" width="23.6640625" customWidth="1"/>
    <col min="7938" max="7938" width="25" bestFit="1" customWidth="1"/>
    <col min="8193" max="8193" width="23.6640625" customWidth="1"/>
    <col min="8194" max="8194" width="25" bestFit="1" customWidth="1"/>
    <col min="8449" max="8449" width="23.6640625" customWidth="1"/>
    <col min="8450" max="8450" width="25" bestFit="1" customWidth="1"/>
    <col min="8705" max="8705" width="23.6640625" customWidth="1"/>
    <col min="8706" max="8706" width="25" bestFit="1" customWidth="1"/>
    <col min="8961" max="8961" width="23.6640625" customWidth="1"/>
    <col min="8962" max="8962" width="25" bestFit="1" customWidth="1"/>
    <col min="9217" max="9217" width="23.6640625" customWidth="1"/>
    <col min="9218" max="9218" width="25" bestFit="1" customWidth="1"/>
    <col min="9473" max="9473" width="23.6640625" customWidth="1"/>
    <col min="9474" max="9474" width="25" bestFit="1" customWidth="1"/>
    <col min="9729" max="9729" width="23.6640625" customWidth="1"/>
    <col min="9730" max="9730" width="25" bestFit="1" customWidth="1"/>
    <col min="9985" max="9985" width="23.6640625" customWidth="1"/>
    <col min="9986" max="9986" width="25" bestFit="1" customWidth="1"/>
    <col min="10241" max="10241" width="23.6640625" customWidth="1"/>
    <col min="10242" max="10242" width="25" bestFit="1" customWidth="1"/>
    <col min="10497" max="10497" width="23.6640625" customWidth="1"/>
    <col min="10498" max="10498" width="25" bestFit="1" customWidth="1"/>
    <col min="10753" max="10753" width="23.6640625" customWidth="1"/>
    <col min="10754" max="10754" width="25" bestFit="1" customWidth="1"/>
    <col min="11009" max="11009" width="23.6640625" customWidth="1"/>
    <col min="11010" max="11010" width="25" bestFit="1" customWidth="1"/>
    <col min="11265" max="11265" width="23.6640625" customWidth="1"/>
    <col min="11266" max="11266" width="25" bestFit="1" customWidth="1"/>
    <col min="11521" max="11521" width="23.6640625" customWidth="1"/>
    <col min="11522" max="11522" width="25" bestFit="1" customWidth="1"/>
    <col min="11777" max="11777" width="23.6640625" customWidth="1"/>
    <col min="11778" max="11778" width="25" bestFit="1" customWidth="1"/>
    <col min="12033" max="12033" width="23.6640625" customWidth="1"/>
    <col min="12034" max="12034" width="25" bestFit="1" customWidth="1"/>
    <col min="12289" max="12289" width="23.6640625" customWidth="1"/>
    <col min="12290" max="12290" width="25" bestFit="1" customWidth="1"/>
    <col min="12545" max="12545" width="23.6640625" customWidth="1"/>
    <col min="12546" max="12546" width="25" bestFit="1" customWidth="1"/>
    <col min="12801" max="12801" width="23.6640625" customWidth="1"/>
    <col min="12802" max="12802" width="25" bestFit="1" customWidth="1"/>
    <col min="13057" max="13057" width="23.6640625" customWidth="1"/>
    <col min="13058" max="13058" width="25" bestFit="1" customWidth="1"/>
    <col min="13313" max="13313" width="23.6640625" customWidth="1"/>
    <col min="13314" max="13314" width="25" bestFit="1" customWidth="1"/>
    <col min="13569" max="13569" width="23.6640625" customWidth="1"/>
    <col min="13570" max="13570" width="25" bestFit="1" customWidth="1"/>
    <col min="13825" max="13825" width="23.6640625" customWidth="1"/>
    <col min="13826" max="13826" width="25" bestFit="1" customWidth="1"/>
    <col min="14081" max="14081" width="23.6640625" customWidth="1"/>
    <col min="14082" max="14082" width="25" bestFit="1" customWidth="1"/>
    <col min="14337" max="14337" width="23.6640625" customWidth="1"/>
    <col min="14338" max="14338" width="25" bestFit="1" customWidth="1"/>
    <col min="14593" max="14593" width="23.6640625" customWidth="1"/>
    <col min="14594" max="14594" width="25" bestFit="1" customWidth="1"/>
    <col min="14849" max="14849" width="23.6640625" customWidth="1"/>
    <col min="14850" max="14850" width="25" bestFit="1" customWidth="1"/>
    <col min="15105" max="15105" width="23.6640625" customWidth="1"/>
    <col min="15106" max="15106" width="25" bestFit="1" customWidth="1"/>
    <col min="15361" max="15361" width="23.6640625" customWidth="1"/>
    <col min="15362" max="15362" width="25" bestFit="1" customWidth="1"/>
    <col min="15617" max="15617" width="23.6640625" customWidth="1"/>
    <col min="15618" max="15618" width="25" bestFit="1" customWidth="1"/>
    <col min="15873" max="15873" width="23.6640625" customWidth="1"/>
    <col min="15874" max="15874" width="25" bestFit="1" customWidth="1"/>
    <col min="16129" max="16129" width="23.6640625" customWidth="1"/>
    <col min="16130" max="16130" width="25" bestFit="1" customWidth="1"/>
  </cols>
  <sheetData>
    <row r="1" spans="1:7" ht="28.8" x14ac:dyDescent="0.3">
      <c r="A1" s="34" t="s">
        <v>94</v>
      </c>
      <c r="B1" s="34"/>
      <c r="C1" s="34"/>
      <c r="D1" s="34"/>
    </row>
    <row r="2" spans="1:7" x14ac:dyDescent="0.3">
      <c r="A2" s="1" t="s">
        <v>95</v>
      </c>
      <c r="B2" s="64">
        <v>1000000</v>
      </c>
    </row>
    <row r="3" spans="1:7" x14ac:dyDescent="0.3">
      <c r="A3" s="1" t="s">
        <v>57</v>
      </c>
      <c r="B3" s="146">
        <v>7.0000000000000007E-2</v>
      </c>
    </row>
    <row r="4" spans="1:7" x14ac:dyDescent="0.3">
      <c r="A4" s="1" t="s">
        <v>39</v>
      </c>
      <c r="B4" s="1">
        <v>12</v>
      </c>
    </row>
    <row r="5" spans="1:7" x14ac:dyDescent="0.3">
      <c r="A5" s="1" t="s">
        <v>77</v>
      </c>
      <c r="B5" s="1">
        <v>40</v>
      </c>
    </row>
    <row r="6" spans="1:7" x14ac:dyDescent="0.3">
      <c r="A6" s="1" t="s">
        <v>96</v>
      </c>
      <c r="B6" s="147"/>
    </row>
    <row r="7" spans="1:7" x14ac:dyDescent="0.3">
      <c r="A7" s="1" t="s">
        <v>6</v>
      </c>
      <c r="B7" s="42"/>
    </row>
    <row r="8" spans="1:7" x14ac:dyDescent="0.3">
      <c r="A8" s="1" t="s">
        <v>246</v>
      </c>
      <c r="B8" s="3"/>
    </row>
    <row r="9" spans="1:7" x14ac:dyDescent="0.3">
      <c r="A9" s="1" t="s">
        <v>97</v>
      </c>
      <c r="B9" s="65"/>
    </row>
    <row r="10" spans="1:7" x14ac:dyDescent="0.3">
      <c r="A10" s="1" t="s">
        <v>97</v>
      </c>
      <c r="B10" s="66"/>
    </row>
    <row r="11" spans="1:7" ht="43.2" x14ac:dyDescent="0.3">
      <c r="A11" s="1" t="s">
        <v>82</v>
      </c>
      <c r="B11" s="58" t="str">
        <f>IF(B10="","","If I want to be a millionaire and I do not like the odds given in the lottery or getting a big inheritance, my next option would be to invest "&amp;DOLLAR(-B10)&amp;" at the "&amp;IF(B8=0,"end",IF(B8=1,"beginning",""))&amp;" of each Period (where i ="&amp;TEXT(B3,"0.00%")&amp;", n = "&amp;B4&amp;", x = "&amp;B5&amp;"). ")</f>
        <v/>
      </c>
      <c r="C11" s="59"/>
      <c r="D11" s="59"/>
      <c r="E11" s="59"/>
      <c r="F11" s="59"/>
      <c r="G11" s="6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1"/>
  <sheetViews>
    <sheetView zoomScale="115" zoomScaleNormal="115" workbookViewId="0">
      <selection activeCell="B6" sqref="B6"/>
    </sheetView>
  </sheetViews>
  <sheetFormatPr defaultRowHeight="14.4" x14ac:dyDescent="0.3"/>
  <cols>
    <col min="1" max="1" width="27.109375" bestFit="1" customWidth="1"/>
    <col min="2" max="2" width="26.109375" bestFit="1" customWidth="1"/>
    <col min="257" max="257" width="23.6640625" customWidth="1"/>
    <col min="258" max="258" width="25" bestFit="1" customWidth="1"/>
    <col min="513" max="513" width="23.6640625" customWidth="1"/>
    <col min="514" max="514" width="25" bestFit="1" customWidth="1"/>
    <col min="769" max="769" width="23.6640625" customWidth="1"/>
    <col min="770" max="770" width="25" bestFit="1" customWidth="1"/>
    <col min="1025" max="1025" width="23.6640625" customWidth="1"/>
    <col min="1026" max="1026" width="25" bestFit="1" customWidth="1"/>
    <col min="1281" max="1281" width="23.6640625" customWidth="1"/>
    <col min="1282" max="1282" width="25" bestFit="1" customWidth="1"/>
    <col min="1537" max="1537" width="23.6640625" customWidth="1"/>
    <col min="1538" max="1538" width="25" bestFit="1" customWidth="1"/>
    <col min="1793" max="1793" width="23.6640625" customWidth="1"/>
    <col min="1794" max="1794" width="25" bestFit="1" customWidth="1"/>
    <col min="2049" max="2049" width="23.6640625" customWidth="1"/>
    <col min="2050" max="2050" width="25" bestFit="1" customWidth="1"/>
    <col min="2305" max="2305" width="23.6640625" customWidth="1"/>
    <col min="2306" max="2306" width="25" bestFit="1" customWidth="1"/>
    <col min="2561" max="2561" width="23.6640625" customWidth="1"/>
    <col min="2562" max="2562" width="25" bestFit="1" customWidth="1"/>
    <col min="2817" max="2817" width="23.6640625" customWidth="1"/>
    <col min="2818" max="2818" width="25" bestFit="1" customWidth="1"/>
    <col min="3073" max="3073" width="23.6640625" customWidth="1"/>
    <col min="3074" max="3074" width="25" bestFit="1" customWidth="1"/>
    <col min="3329" max="3329" width="23.6640625" customWidth="1"/>
    <col min="3330" max="3330" width="25" bestFit="1" customWidth="1"/>
    <col min="3585" max="3585" width="23.6640625" customWidth="1"/>
    <col min="3586" max="3586" width="25" bestFit="1" customWidth="1"/>
    <col min="3841" max="3841" width="23.6640625" customWidth="1"/>
    <col min="3842" max="3842" width="25" bestFit="1" customWidth="1"/>
    <col min="4097" max="4097" width="23.6640625" customWidth="1"/>
    <col min="4098" max="4098" width="25" bestFit="1" customWidth="1"/>
    <col min="4353" max="4353" width="23.6640625" customWidth="1"/>
    <col min="4354" max="4354" width="25" bestFit="1" customWidth="1"/>
    <col min="4609" max="4609" width="23.6640625" customWidth="1"/>
    <col min="4610" max="4610" width="25" bestFit="1" customWidth="1"/>
    <col min="4865" max="4865" width="23.6640625" customWidth="1"/>
    <col min="4866" max="4866" width="25" bestFit="1" customWidth="1"/>
    <col min="5121" max="5121" width="23.6640625" customWidth="1"/>
    <col min="5122" max="5122" width="25" bestFit="1" customWidth="1"/>
    <col min="5377" max="5377" width="23.6640625" customWidth="1"/>
    <col min="5378" max="5378" width="25" bestFit="1" customWidth="1"/>
    <col min="5633" max="5633" width="23.6640625" customWidth="1"/>
    <col min="5634" max="5634" width="25" bestFit="1" customWidth="1"/>
    <col min="5889" max="5889" width="23.6640625" customWidth="1"/>
    <col min="5890" max="5890" width="25" bestFit="1" customWidth="1"/>
    <col min="6145" max="6145" width="23.6640625" customWidth="1"/>
    <col min="6146" max="6146" width="25" bestFit="1" customWidth="1"/>
    <col min="6401" max="6401" width="23.6640625" customWidth="1"/>
    <col min="6402" max="6402" width="25" bestFit="1" customWidth="1"/>
    <col min="6657" max="6657" width="23.6640625" customWidth="1"/>
    <col min="6658" max="6658" width="25" bestFit="1" customWidth="1"/>
    <col min="6913" max="6913" width="23.6640625" customWidth="1"/>
    <col min="6914" max="6914" width="25" bestFit="1" customWidth="1"/>
    <col min="7169" max="7169" width="23.6640625" customWidth="1"/>
    <col min="7170" max="7170" width="25" bestFit="1" customWidth="1"/>
    <col min="7425" max="7425" width="23.6640625" customWidth="1"/>
    <col min="7426" max="7426" width="25" bestFit="1" customWidth="1"/>
    <col min="7681" max="7681" width="23.6640625" customWidth="1"/>
    <col min="7682" max="7682" width="25" bestFit="1" customWidth="1"/>
    <col min="7937" max="7937" width="23.6640625" customWidth="1"/>
    <col min="7938" max="7938" width="25" bestFit="1" customWidth="1"/>
    <col min="8193" max="8193" width="23.6640625" customWidth="1"/>
    <col min="8194" max="8194" width="25" bestFit="1" customWidth="1"/>
    <col min="8449" max="8449" width="23.6640625" customWidth="1"/>
    <col min="8450" max="8450" width="25" bestFit="1" customWidth="1"/>
    <col min="8705" max="8705" width="23.6640625" customWidth="1"/>
    <col min="8706" max="8706" width="25" bestFit="1" customWidth="1"/>
    <col min="8961" max="8961" width="23.6640625" customWidth="1"/>
    <col min="8962" max="8962" width="25" bestFit="1" customWidth="1"/>
    <col min="9217" max="9217" width="23.6640625" customWidth="1"/>
    <col min="9218" max="9218" width="25" bestFit="1" customWidth="1"/>
    <col min="9473" max="9473" width="23.6640625" customWidth="1"/>
    <col min="9474" max="9474" width="25" bestFit="1" customWidth="1"/>
    <col min="9729" max="9729" width="23.6640625" customWidth="1"/>
    <col min="9730" max="9730" width="25" bestFit="1" customWidth="1"/>
    <col min="9985" max="9985" width="23.6640625" customWidth="1"/>
    <col min="9986" max="9986" width="25" bestFit="1" customWidth="1"/>
    <col min="10241" max="10241" width="23.6640625" customWidth="1"/>
    <col min="10242" max="10242" width="25" bestFit="1" customWidth="1"/>
    <col min="10497" max="10497" width="23.6640625" customWidth="1"/>
    <col min="10498" max="10498" width="25" bestFit="1" customWidth="1"/>
    <col min="10753" max="10753" width="23.6640625" customWidth="1"/>
    <col min="10754" max="10754" width="25" bestFit="1" customWidth="1"/>
    <col min="11009" max="11009" width="23.6640625" customWidth="1"/>
    <col min="11010" max="11010" width="25" bestFit="1" customWidth="1"/>
    <col min="11265" max="11265" width="23.6640625" customWidth="1"/>
    <col min="11266" max="11266" width="25" bestFit="1" customWidth="1"/>
    <col min="11521" max="11521" width="23.6640625" customWidth="1"/>
    <col min="11522" max="11522" width="25" bestFit="1" customWidth="1"/>
    <col min="11777" max="11777" width="23.6640625" customWidth="1"/>
    <col min="11778" max="11778" width="25" bestFit="1" customWidth="1"/>
    <col min="12033" max="12033" width="23.6640625" customWidth="1"/>
    <col min="12034" max="12034" width="25" bestFit="1" customWidth="1"/>
    <col min="12289" max="12289" width="23.6640625" customWidth="1"/>
    <col min="12290" max="12290" width="25" bestFit="1" customWidth="1"/>
    <col min="12545" max="12545" width="23.6640625" customWidth="1"/>
    <col min="12546" max="12546" width="25" bestFit="1" customWidth="1"/>
    <col min="12801" max="12801" width="23.6640625" customWidth="1"/>
    <col min="12802" max="12802" width="25" bestFit="1" customWidth="1"/>
    <col min="13057" max="13057" width="23.6640625" customWidth="1"/>
    <col min="13058" max="13058" width="25" bestFit="1" customWidth="1"/>
    <col min="13313" max="13313" width="23.6640625" customWidth="1"/>
    <col min="13314" max="13314" width="25" bestFit="1" customWidth="1"/>
    <col min="13569" max="13569" width="23.6640625" customWidth="1"/>
    <col min="13570" max="13570" width="25" bestFit="1" customWidth="1"/>
    <col min="13825" max="13825" width="23.6640625" customWidth="1"/>
    <col min="13826" max="13826" width="25" bestFit="1" customWidth="1"/>
    <col min="14081" max="14081" width="23.6640625" customWidth="1"/>
    <col min="14082" max="14082" width="25" bestFit="1" customWidth="1"/>
    <col min="14337" max="14337" width="23.6640625" customWidth="1"/>
    <col min="14338" max="14338" width="25" bestFit="1" customWidth="1"/>
    <col min="14593" max="14593" width="23.6640625" customWidth="1"/>
    <col min="14594" max="14594" width="25" bestFit="1" customWidth="1"/>
    <col min="14849" max="14849" width="23.6640625" customWidth="1"/>
    <col min="14850" max="14850" width="25" bestFit="1" customWidth="1"/>
    <col min="15105" max="15105" width="23.6640625" customWidth="1"/>
    <col min="15106" max="15106" width="25" bestFit="1" customWidth="1"/>
    <col min="15361" max="15361" width="23.6640625" customWidth="1"/>
    <col min="15362" max="15362" width="25" bestFit="1" customWidth="1"/>
    <col min="15617" max="15617" width="23.6640625" customWidth="1"/>
    <col min="15618" max="15618" width="25" bestFit="1" customWidth="1"/>
    <col min="15873" max="15873" width="23.6640625" customWidth="1"/>
    <col min="15874" max="15874" width="25" bestFit="1" customWidth="1"/>
    <col min="16129" max="16129" width="23.6640625" customWidth="1"/>
    <col min="16130" max="16130" width="25" bestFit="1" customWidth="1"/>
  </cols>
  <sheetData>
    <row r="1" spans="1:7" ht="28.8" x14ac:dyDescent="0.3">
      <c r="A1" s="34" t="s">
        <v>94</v>
      </c>
      <c r="B1" s="34"/>
      <c r="C1" s="34"/>
      <c r="D1" s="34"/>
    </row>
    <row r="2" spans="1:7" x14ac:dyDescent="0.3">
      <c r="A2" s="1" t="s">
        <v>95</v>
      </c>
      <c r="B2" s="64">
        <v>1000000</v>
      </c>
    </row>
    <row r="3" spans="1:7" x14ac:dyDescent="0.3">
      <c r="A3" s="1" t="s">
        <v>57</v>
      </c>
      <c r="B3" s="146">
        <v>0.1</v>
      </c>
    </row>
    <row r="4" spans="1:7" x14ac:dyDescent="0.3">
      <c r="A4" s="1" t="s">
        <v>39</v>
      </c>
      <c r="B4" s="1">
        <v>12</v>
      </c>
    </row>
    <row r="5" spans="1:7" x14ac:dyDescent="0.3">
      <c r="A5" s="1" t="s">
        <v>77</v>
      </c>
      <c r="B5" s="1">
        <v>40</v>
      </c>
    </row>
    <row r="6" spans="1:7" x14ac:dyDescent="0.3">
      <c r="A6" s="1" t="s">
        <v>96</v>
      </c>
      <c r="B6" s="147">
        <f>B3/B4</f>
        <v>8.3333333333333332E-3</v>
      </c>
    </row>
    <row r="7" spans="1:7" x14ac:dyDescent="0.3">
      <c r="A7" s="1" t="s">
        <v>6</v>
      </c>
      <c r="B7" s="42">
        <f>B5*B4</f>
        <v>480</v>
      </c>
    </row>
    <row r="8" spans="1:7" x14ac:dyDescent="0.3">
      <c r="A8" s="1" t="s">
        <v>246</v>
      </c>
      <c r="B8" s="3"/>
    </row>
    <row r="9" spans="1:7" x14ac:dyDescent="0.3">
      <c r="A9" s="1" t="s">
        <v>97</v>
      </c>
      <c r="B9" s="65">
        <f>B2/(((1+B6)^B7-1)/B6)</f>
        <v>158.12577738855845</v>
      </c>
    </row>
    <row r="10" spans="1:7" x14ac:dyDescent="0.3">
      <c r="A10" s="1" t="s">
        <v>97</v>
      </c>
      <c r="B10" s="66">
        <f>PMT(B6,B7,,B2)</f>
        <v>-158.12577738855518</v>
      </c>
    </row>
    <row r="11" spans="1:7" ht="43.2" x14ac:dyDescent="0.3">
      <c r="A11" s="1" t="s">
        <v>82</v>
      </c>
      <c r="B11" s="67" t="str">
        <f>IF(B10="","","If I want to be a millionaire and I do not like the odds given in the lottery or getting a big inheritance, my next option would be to invest "&amp;DOLLAR(-B10)&amp;" at the "&amp;IF(B8=0,"end",IF(B8=1,"beginning",""))&amp;" of each Period (where i ="&amp;TEXT(B3,"0.00%")&amp;", n = "&amp;B4&amp;", x = "&amp;B5&amp;"). ")</f>
        <v xml:space="preserve">If I want to be a millionaire and I do not like the odds given in the lottery or getting a big inheritance, my next option would be to invest $158.13 at the end of each Period (where i =10.00%, n = 12, x = 40). </v>
      </c>
      <c r="C11" s="44"/>
      <c r="D11" s="44"/>
      <c r="E11" s="44"/>
      <c r="F11" s="44"/>
      <c r="G11" s="4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11"/>
  <sheetViews>
    <sheetView zoomScale="130" zoomScaleNormal="130" workbookViewId="0">
      <selection activeCell="B6" sqref="B6"/>
    </sheetView>
  </sheetViews>
  <sheetFormatPr defaultRowHeight="14.4" x14ac:dyDescent="0.3"/>
  <cols>
    <col min="1" max="1" width="27.109375" bestFit="1" customWidth="1"/>
    <col min="2" max="2" width="25" bestFit="1" customWidth="1"/>
    <col min="3" max="7" width="8.33203125" customWidth="1"/>
    <col min="8" max="8" width="11.88671875" bestFit="1" customWidth="1"/>
    <col min="9" max="9" width="13.109375" bestFit="1" customWidth="1"/>
    <col min="257" max="257" width="19.33203125" bestFit="1" customWidth="1"/>
    <col min="258" max="258" width="25" bestFit="1" customWidth="1"/>
    <col min="259" max="259" width="12.44140625" bestFit="1" customWidth="1"/>
    <col min="261" max="261" width="11.88671875" bestFit="1" customWidth="1"/>
    <col min="262" max="262" width="13.109375" bestFit="1" customWidth="1"/>
    <col min="264" max="264" width="11.88671875" bestFit="1" customWidth="1"/>
    <col min="265" max="265" width="13.109375" bestFit="1" customWidth="1"/>
    <col min="513" max="513" width="19.33203125" bestFit="1" customWidth="1"/>
    <col min="514" max="514" width="25" bestFit="1" customWidth="1"/>
    <col min="515" max="515" width="12.44140625" bestFit="1" customWidth="1"/>
    <col min="517" max="517" width="11.88671875" bestFit="1" customWidth="1"/>
    <col min="518" max="518" width="13.109375" bestFit="1" customWidth="1"/>
    <col min="520" max="520" width="11.88671875" bestFit="1" customWidth="1"/>
    <col min="521" max="521" width="13.109375" bestFit="1" customWidth="1"/>
    <col min="769" max="769" width="19.33203125" bestFit="1" customWidth="1"/>
    <col min="770" max="770" width="25" bestFit="1" customWidth="1"/>
    <col min="771" max="771" width="12.44140625" bestFit="1" customWidth="1"/>
    <col min="773" max="773" width="11.88671875" bestFit="1" customWidth="1"/>
    <col min="774" max="774" width="13.109375" bestFit="1" customWidth="1"/>
    <col min="776" max="776" width="11.88671875" bestFit="1" customWidth="1"/>
    <col min="777" max="777" width="13.109375" bestFit="1" customWidth="1"/>
    <col min="1025" max="1025" width="19.33203125" bestFit="1" customWidth="1"/>
    <col min="1026" max="1026" width="25" bestFit="1" customWidth="1"/>
    <col min="1027" max="1027" width="12.44140625" bestFit="1" customWidth="1"/>
    <col min="1029" max="1029" width="11.88671875" bestFit="1" customWidth="1"/>
    <col min="1030" max="1030" width="13.109375" bestFit="1" customWidth="1"/>
    <col min="1032" max="1032" width="11.88671875" bestFit="1" customWidth="1"/>
    <col min="1033" max="1033" width="13.109375" bestFit="1" customWidth="1"/>
    <col min="1281" max="1281" width="19.33203125" bestFit="1" customWidth="1"/>
    <col min="1282" max="1282" width="25" bestFit="1" customWidth="1"/>
    <col min="1283" max="1283" width="12.44140625" bestFit="1" customWidth="1"/>
    <col min="1285" max="1285" width="11.88671875" bestFit="1" customWidth="1"/>
    <col min="1286" max="1286" width="13.109375" bestFit="1" customWidth="1"/>
    <col min="1288" max="1288" width="11.88671875" bestFit="1" customWidth="1"/>
    <col min="1289" max="1289" width="13.109375" bestFit="1" customWidth="1"/>
    <col min="1537" max="1537" width="19.33203125" bestFit="1" customWidth="1"/>
    <col min="1538" max="1538" width="25" bestFit="1" customWidth="1"/>
    <col min="1539" max="1539" width="12.44140625" bestFit="1" customWidth="1"/>
    <col min="1541" max="1541" width="11.88671875" bestFit="1" customWidth="1"/>
    <col min="1542" max="1542" width="13.109375" bestFit="1" customWidth="1"/>
    <col min="1544" max="1544" width="11.88671875" bestFit="1" customWidth="1"/>
    <col min="1545" max="1545" width="13.109375" bestFit="1" customWidth="1"/>
    <col min="1793" max="1793" width="19.33203125" bestFit="1" customWidth="1"/>
    <col min="1794" max="1794" width="25" bestFit="1" customWidth="1"/>
    <col min="1795" max="1795" width="12.44140625" bestFit="1" customWidth="1"/>
    <col min="1797" max="1797" width="11.88671875" bestFit="1" customWidth="1"/>
    <col min="1798" max="1798" width="13.109375" bestFit="1" customWidth="1"/>
    <col min="1800" max="1800" width="11.88671875" bestFit="1" customWidth="1"/>
    <col min="1801" max="1801" width="13.109375" bestFit="1" customWidth="1"/>
    <col min="2049" max="2049" width="19.33203125" bestFit="1" customWidth="1"/>
    <col min="2050" max="2050" width="25" bestFit="1" customWidth="1"/>
    <col min="2051" max="2051" width="12.44140625" bestFit="1" customWidth="1"/>
    <col min="2053" max="2053" width="11.88671875" bestFit="1" customWidth="1"/>
    <col min="2054" max="2054" width="13.109375" bestFit="1" customWidth="1"/>
    <col min="2056" max="2056" width="11.88671875" bestFit="1" customWidth="1"/>
    <col min="2057" max="2057" width="13.109375" bestFit="1" customWidth="1"/>
    <col min="2305" max="2305" width="19.33203125" bestFit="1" customWidth="1"/>
    <col min="2306" max="2306" width="25" bestFit="1" customWidth="1"/>
    <col min="2307" max="2307" width="12.44140625" bestFit="1" customWidth="1"/>
    <col min="2309" max="2309" width="11.88671875" bestFit="1" customWidth="1"/>
    <col min="2310" max="2310" width="13.109375" bestFit="1" customWidth="1"/>
    <col min="2312" max="2312" width="11.88671875" bestFit="1" customWidth="1"/>
    <col min="2313" max="2313" width="13.109375" bestFit="1" customWidth="1"/>
    <col min="2561" max="2561" width="19.33203125" bestFit="1" customWidth="1"/>
    <col min="2562" max="2562" width="25" bestFit="1" customWidth="1"/>
    <col min="2563" max="2563" width="12.44140625" bestFit="1" customWidth="1"/>
    <col min="2565" max="2565" width="11.88671875" bestFit="1" customWidth="1"/>
    <col min="2566" max="2566" width="13.109375" bestFit="1" customWidth="1"/>
    <col min="2568" max="2568" width="11.88671875" bestFit="1" customWidth="1"/>
    <col min="2569" max="2569" width="13.109375" bestFit="1" customWidth="1"/>
    <col min="2817" max="2817" width="19.33203125" bestFit="1" customWidth="1"/>
    <col min="2818" max="2818" width="25" bestFit="1" customWidth="1"/>
    <col min="2819" max="2819" width="12.44140625" bestFit="1" customWidth="1"/>
    <col min="2821" max="2821" width="11.88671875" bestFit="1" customWidth="1"/>
    <col min="2822" max="2822" width="13.109375" bestFit="1" customWidth="1"/>
    <col min="2824" max="2824" width="11.88671875" bestFit="1" customWidth="1"/>
    <col min="2825" max="2825" width="13.109375" bestFit="1" customWidth="1"/>
    <col min="3073" max="3073" width="19.33203125" bestFit="1" customWidth="1"/>
    <col min="3074" max="3074" width="25" bestFit="1" customWidth="1"/>
    <col min="3075" max="3075" width="12.44140625" bestFit="1" customWidth="1"/>
    <col min="3077" max="3077" width="11.88671875" bestFit="1" customWidth="1"/>
    <col min="3078" max="3078" width="13.109375" bestFit="1" customWidth="1"/>
    <col min="3080" max="3080" width="11.88671875" bestFit="1" customWidth="1"/>
    <col min="3081" max="3081" width="13.109375" bestFit="1" customWidth="1"/>
    <col min="3329" max="3329" width="19.33203125" bestFit="1" customWidth="1"/>
    <col min="3330" max="3330" width="25" bestFit="1" customWidth="1"/>
    <col min="3331" max="3331" width="12.44140625" bestFit="1" customWidth="1"/>
    <col min="3333" max="3333" width="11.88671875" bestFit="1" customWidth="1"/>
    <col min="3334" max="3334" width="13.109375" bestFit="1" customWidth="1"/>
    <col min="3336" max="3336" width="11.88671875" bestFit="1" customWidth="1"/>
    <col min="3337" max="3337" width="13.109375" bestFit="1" customWidth="1"/>
    <col min="3585" max="3585" width="19.33203125" bestFit="1" customWidth="1"/>
    <col min="3586" max="3586" width="25" bestFit="1" customWidth="1"/>
    <col min="3587" max="3587" width="12.44140625" bestFit="1" customWidth="1"/>
    <col min="3589" max="3589" width="11.88671875" bestFit="1" customWidth="1"/>
    <col min="3590" max="3590" width="13.109375" bestFit="1" customWidth="1"/>
    <col min="3592" max="3592" width="11.88671875" bestFit="1" customWidth="1"/>
    <col min="3593" max="3593" width="13.109375" bestFit="1" customWidth="1"/>
    <col min="3841" max="3841" width="19.33203125" bestFit="1" customWidth="1"/>
    <col min="3842" max="3842" width="25" bestFit="1" customWidth="1"/>
    <col min="3843" max="3843" width="12.44140625" bestFit="1" customWidth="1"/>
    <col min="3845" max="3845" width="11.88671875" bestFit="1" customWidth="1"/>
    <col min="3846" max="3846" width="13.109375" bestFit="1" customWidth="1"/>
    <col min="3848" max="3848" width="11.88671875" bestFit="1" customWidth="1"/>
    <col min="3849" max="3849" width="13.109375" bestFit="1" customWidth="1"/>
    <col min="4097" max="4097" width="19.33203125" bestFit="1" customWidth="1"/>
    <col min="4098" max="4098" width="25" bestFit="1" customWidth="1"/>
    <col min="4099" max="4099" width="12.44140625" bestFit="1" customWidth="1"/>
    <col min="4101" max="4101" width="11.88671875" bestFit="1" customWidth="1"/>
    <col min="4102" max="4102" width="13.109375" bestFit="1" customWidth="1"/>
    <col min="4104" max="4104" width="11.88671875" bestFit="1" customWidth="1"/>
    <col min="4105" max="4105" width="13.109375" bestFit="1" customWidth="1"/>
    <col min="4353" max="4353" width="19.33203125" bestFit="1" customWidth="1"/>
    <col min="4354" max="4354" width="25" bestFit="1" customWidth="1"/>
    <col min="4355" max="4355" width="12.44140625" bestFit="1" customWidth="1"/>
    <col min="4357" max="4357" width="11.88671875" bestFit="1" customWidth="1"/>
    <col min="4358" max="4358" width="13.109375" bestFit="1" customWidth="1"/>
    <col min="4360" max="4360" width="11.88671875" bestFit="1" customWidth="1"/>
    <col min="4361" max="4361" width="13.109375" bestFit="1" customWidth="1"/>
    <col min="4609" max="4609" width="19.33203125" bestFit="1" customWidth="1"/>
    <col min="4610" max="4610" width="25" bestFit="1" customWidth="1"/>
    <col min="4611" max="4611" width="12.44140625" bestFit="1" customWidth="1"/>
    <col min="4613" max="4613" width="11.88671875" bestFit="1" customWidth="1"/>
    <col min="4614" max="4614" width="13.109375" bestFit="1" customWidth="1"/>
    <col min="4616" max="4616" width="11.88671875" bestFit="1" customWidth="1"/>
    <col min="4617" max="4617" width="13.109375" bestFit="1" customWidth="1"/>
    <col min="4865" max="4865" width="19.33203125" bestFit="1" customWidth="1"/>
    <col min="4866" max="4866" width="25" bestFit="1" customWidth="1"/>
    <col min="4867" max="4867" width="12.44140625" bestFit="1" customWidth="1"/>
    <col min="4869" max="4869" width="11.88671875" bestFit="1" customWidth="1"/>
    <col min="4870" max="4870" width="13.109375" bestFit="1" customWidth="1"/>
    <col min="4872" max="4872" width="11.88671875" bestFit="1" customWidth="1"/>
    <col min="4873" max="4873" width="13.109375" bestFit="1" customWidth="1"/>
    <col min="5121" max="5121" width="19.33203125" bestFit="1" customWidth="1"/>
    <col min="5122" max="5122" width="25" bestFit="1" customWidth="1"/>
    <col min="5123" max="5123" width="12.44140625" bestFit="1" customWidth="1"/>
    <col min="5125" max="5125" width="11.88671875" bestFit="1" customWidth="1"/>
    <col min="5126" max="5126" width="13.109375" bestFit="1" customWidth="1"/>
    <col min="5128" max="5128" width="11.88671875" bestFit="1" customWidth="1"/>
    <col min="5129" max="5129" width="13.109375" bestFit="1" customWidth="1"/>
    <col min="5377" max="5377" width="19.33203125" bestFit="1" customWidth="1"/>
    <col min="5378" max="5378" width="25" bestFit="1" customWidth="1"/>
    <col min="5379" max="5379" width="12.44140625" bestFit="1" customWidth="1"/>
    <col min="5381" max="5381" width="11.88671875" bestFit="1" customWidth="1"/>
    <col min="5382" max="5382" width="13.109375" bestFit="1" customWidth="1"/>
    <col min="5384" max="5384" width="11.88671875" bestFit="1" customWidth="1"/>
    <col min="5385" max="5385" width="13.109375" bestFit="1" customWidth="1"/>
    <col min="5633" max="5633" width="19.33203125" bestFit="1" customWidth="1"/>
    <col min="5634" max="5634" width="25" bestFit="1" customWidth="1"/>
    <col min="5635" max="5635" width="12.44140625" bestFit="1" customWidth="1"/>
    <col min="5637" max="5637" width="11.88671875" bestFit="1" customWidth="1"/>
    <col min="5638" max="5638" width="13.109375" bestFit="1" customWidth="1"/>
    <col min="5640" max="5640" width="11.88671875" bestFit="1" customWidth="1"/>
    <col min="5641" max="5641" width="13.109375" bestFit="1" customWidth="1"/>
    <col min="5889" max="5889" width="19.33203125" bestFit="1" customWidth="1"/>
    <col min="5890" max="5890" width="25" bestFit="1" customWidth="1"/>
    <col min="5891" max="5891" width="12.44140625" bestFit="1" customWidth="1"/>
    <col min="5893" max="5893" width="11.88671875" bestFit="1" customWidth="1"/>
    <col min="5894" max="5894" width="13.109375" bestFit="1" customWidth="1"/>
    <col min="5896" max="5896" width="11.88671875" bestFit="1" customWidth="1"/>
    <col min="5897" max="5897" width="13.109375" bestFit="1" customWidth="1"/>
    <col min="6145" max="6145" width="19.33203125" bestFit="1" customWidth="1"/>
    <col min="6146" max="6146" width="25" bestFit="1" customWidth="1"/>
    <col min="6147" max="6147" width="12.44140625" bestFit="1" customWidth="1"/>
    <col min="6149" max="6149" width="11.88671875" bestFit="1" customWidth="1"/>
    <col min="6150" max="6150" width="13.109375" bestFit="1" customWidth="1"/>
    <col min="6152" max="6152" width="11.88671875" bestFit="1" customWidth="1"/>
    <col min="6153" max="6153" width="13.109375" bestFit="1" customWidth="1"/>
    <col min="6401" max="6401" width="19.33203125" bestFit="1" customWidth="1"/>
    <col min="6402" max="6402" width="25" bestFit="1" customWidth="1"/>
    <col min="6403" max="6403" width="12.44140625" bestFit="1" customWidth="1"/>
    <col min="6405" max="6405" width="11.88671875" bestFit="1" customWidth="1"/>
    <col min="6406" max="6406" width="13.109375" bestFit="1" customWidth="1"/>
    <col min="6408" max="6408" width="11.88671875" bestFit="1" customWidth="1"/>
    <col min="6409" max="6409" width="13.109375" bestFit="1" customWidth="1"/>
    <col min="6657" max="6657" width="19.33203125" bestFit="1" customWidth="1"/>
    <col min="6658" max="6658" width="25" bestFit="1" customWidth="1"/>
    <col min="6659" max="6659" width="12.44140625" bestFit="1" customWidth="1"/>
    <col min="6661" max="6661" width="11.88671875" bestFit="1" customWidth="1"/>
    <col min="6662" max="6662" width="13.109375" bestFit="1" customWidth="1"/>
    <col min="6664" max="6664" width="11.88671875" bestFit="1" customWidth="1"/>
    <col min="6665" max="6665" width="13.109375" bestFit="1" customWidth="1"/>
    <col min="6913" max="6913" width="19.33203125" bestFit="1" customWidth="1"/>
    <col min="6914" max="6914" width="25" bestFit="1" customWidth="1"/>
    <col min="6915" max="6915" width="12.44140625" bestFit="1" customWidth="1"/>
    <col min="6917" max="6917" width="11.88671875" bestFit="1" customWidth="1"/>
    <col min="6918" max="6918" width="13.109375" bestFit="1" customWidth="1"/>
    <col min="6920" max="6920" width="11.88671875" bestFit="1" customWidth="1"/>
    <col min="6921" max="6921" width="13.109375" bestFit="1" customWidth="1"/>
    <col min="7169" max="7169" width="19.33203125" bestFit="1" customWidth="1"/>
    <col min="7170" max="7170" width="25" bestFit="1" customWidth="1"/>
    <col min="7171" max="7171" width="12.44140625" bestFit="1" customWidth="1"/>
    <col min="7173" max="7173" width="11.88671875" bestFit="1" customWidth="1"/>
    <col min="7174" max="7174" width="13.109375" bestFit="1" customWidth="1"/>
    <col min="7176" max="7176" width="11.88671875" bestFit="1" customWidth="1"/>
    <col min="7177" max="7177" width="13.109375" bestFit="1" customWidth="1"/>
    <col min="7425" max="7425" width="19.33203125" bestFit="1" customWidth="1"/>
    <col min="7426" max="7426" width="25" bestFit="1" customWidth="1"/>
    <col min="7427" max="7427" width="12.44140625" bestFit="1" customWidth="1"/>
    <col min="7429" max="7429" width="11.88671875" bestFit="1" customWidth="1"/>
    <col min="7430" max="7430" width="13.109375" bestFit="1" customWidth="1"/>
    <col min="7432" max="7432" width="11.88671875" bestFit="1" customWidth="1"/>
    <col min="7433" max="7433" width="13.109375" bestFit="1" customWidth="1"/>
    <col min="7681" max="7681" width="19.33203125" bestFit="1" customWidth="1"/>
    <col min="7682" max="7682" width="25" bestFit="1" customWidth="1"/>
    <col min="7683" max="7683" width="12.44140625" bestFit="1" customWidth="1"/>
    <col min="7685" max="7685" width="11.88671875" bestFit="1" customWidth="1"/>
    <col min="7686" max="7686" width="13.109375" bestFit="1" customWidth="1"/>
    <col min="7688" max="7688" width="11.88671875" bestFit="1" customWidth="1"/>
    <col min="7689" max="7689" width="13.109375" bestFit="1" customWidth="1"/>
    <col min="7937" max="7937" width="19.33203125" bestFit="1" customWidth="1"/>
    <col min="7938" max="7938" width="25" bestFit="1" customWidth="1"/>
    <col min="7939" max="7939" width="12.44140625" bestFit="1" customWidth="1"/>
    <col min="7941" max="7941" width="11.88671875" bestFit="1" customWidth="1"/>
    <col min="7942" max="7942" width="13.109375" bestFit="1" customWidth="1"/>
    <col min="7944" max="7944" width="11.88671875" bestFit="1" customWidth="1"/>
    <col min="7945" max="7945" width="13.109375" bestFit="1" customWidth="1"/>
    <col min="8193" max="8193" width="19.33203125" bestFit="1" customWidth="1"/>
    <col min="8194" max="8194" width="25" bestFit="1" customWidth="1"/>
    <col min="8195" max="8195" width="12.44140625" bestFit="1" customWidth="1"/>
    <col min="8197" max="8197" width="11.88671875" bestFit="1" customWidth="1"/>
    <col min="8198" max="8198" width="13.109375" bestFit="1" customWidth="1"/>
    <col min="8200" max="8200" width="11.88671875" bestFit="1" customWidth="1"/>
    <col min="8201" max="8201" width="13.109375" bestFit="1" customWidth="1"/>
    <col min="8449" max="8449" width="19.33203125" bestFit="1" customWidth="1"/>
    <col min="8450" max="8450" width="25" bestFit="1" customWidth="1"/>
    <col min="8451" max="8451" width="12.44140625" bestFit="1" customWidth="1"/>
    <col min="8453" max="8453" width="11.88671875" bestFit="1" customWidth="1"/>
    <col min="8454" max="8454" width="13.109375" bestFit="1" customWidth="1"/>
    <col min="8456" max="8456" width="11.88671875" bestFit="1" customWidth="1"/>
    <col min="8457" max="8457" width="13.109375" bestFit="1" customWidth="1"/>
    <col min="8705" max="8705" width="19.33203125" bestFit="1" customWidth="1"/>
    <col min="8706" max="8706" width="25" bestFit="1" customWidth="1"/>
    <col min="8707" max="8707" width="12.44140625" bestFit="1" customWidth="1"/>
    <col min="8709" max="8709" width="11.88671875" bestFit="1" customWidth="1"/>
    <col min="8710" max="8710" width="13.109375" bestFit="1" customWidth="1"/>
    <col min="8712" max="8712" width="11.88671875" bestFit="1" customWidth="1"/>
    <col min="8713" max="8713" width="13.109375" bestFit="1" customWidth="1"/>
    <col min="8961" max="8961" width="19.33203125" bestFit="1" customWidth="1"/>
    <col min="8962" max="8962" width="25" bestFit="1" customWidth="1"/>
    <col min="8963" max="8963" width="12.44140625" bestFit="1" customWidth="1"/>
    <col min="8965" max="8965" width="11.88671875" bestFit="1" customWidth="1"/>
    <col min="8966" max="8966" width="13.109375" bestFit="1" customWidth="1"/>
    <col min="8968" max="8968" width="11.88671875" bestFit="1" customWidth="1"/>
    <col min="8969" max="8969" width="13.109375" bestFit="1" customWidth="1"/>
    <col min="9217" max="9217" width="19.33203125" bestFit="1" customWidth="1"/>
    <col min="9218" max="9218" width="25" bestFit="1" customWidth="1"/>
    <col min="9219" max="9219" width="12.44140625" bestFit="1" customWidth="1"/>
    <col min="9221" max="9221" width="11.88671875" bestFit="1" customWidth="1"/>
    <col min="9222" max="9222" width="13.109375" bestFit="1" customWidth="1"/>
    <col min="9224" max="9224" width="11.88671875" bestFit="1" customWidth="1"/>
    <col min="9225" max="9225" width="13.109375" bestFit="1" customWidth="1"/>
    <col min="9473" max="9473" width="19.33203125" bestFit="1" customWidth="1"/>
    <col min="9474" max="9474" width="25" bestFit="1" customWidth="1"/>
    <col min="9475" max="9475" width="12.44140625" bestFit="1" customWidth="1"/>
    <col min="9477" max="9477" width="11.88671875" bestFit="1" customWidth="1"/>
    <col min="9478" max="9478" width="13.109375" bestFit="1" customWidth="1"/>
    <col min="9480" max="9480" width="11.88671875" bestFit="1" customWidth="1"/>
    <col min="9481" max="9481" width="13.109375" bestFit="1" customWidth="1"/>
    <col min="9729" max="9729" width="19.33203125" bestFit="1" customWidth="1"/>
    <col min="9730" max="9730" width="25" bestFit="1" customWidth="1"/>
    <col min="9731" max="9731" width="12.44140625" bestFit="1" customWidth="1"/>
    <col min="9733" max="9733" width="11.88671875" bestFit="1" customWidth="1"/>
    <col min="9734" max="9734" width="13.109375" bestFit="1" customWidth="1"/>
    <col min="9736" max="9736" width="11.88671875" bestFit="1" customWidth="1"/>
    <col min="9737" max="9737" width="13.109375" bestFit="1" customWidth="1"/>
    <col min="9985" max="9985" width="19.33203125" bestFit="1" customWidth="1"/>
    <col min="9986" max="9986" width="25" bestFit="1" customWidth="1"/>
    <col min="9987" max="9987" width="12.44140625" bestFit="1" customWidth="1"/>
    <col min="9989" max="9989" width="11.88671875" bestFit="1" customWidth="1"/>
    <col min="9990" max="9990" width="13.109375" bestFit="1" customWidth="1"/>
    <col min="9992" max="9992" width="11.88671875" bestFit="1" customWidth="1"/>
    <col min="9993" max="9993" width="13.109375" bestFit="1" customWidth="1"/>
    <col min="10241" max="10241" width="19.33203125" bestFit="1" customWidth="1"/>
    <col min="10242" max="10242" width="25" bestFit="1" customWidth="1"/>
    <col min="10243" max="10243" width="12.44140625" bestFit="1" customWidth="1"/>
    <col min="10245" max="10245" width="11.88671875" bestFit="1" customWidth="1"/>
    <col min="10246" max="10246" width="13.109375" bestFit="1" customWidth="1"/>
    <col min="10248" max="10248" width="11.88671875" bestFit="1" customWidth="1"/>
    <col min="10249" max="10249" width="13.109375" bestFit="1" customWidth="1"/>
    <col min="10497" max="10497" width="19.33203125" bestFit="1" customWidth="1"/>
    <col min="10498" max="10498" width="25" bestFit="1" customWidth="1"/>
    <col min="10499" max="10499" width="12.44140625" bestFit="1" customWidth="1"/>
    <col min="10501" max="10501" width="11.88671875" bestFit="1" customWidth="1"/>
    <col min="10502" max="10502" width="13.109375" bestFit="1" customWidth="1"/>
    <col min="10504" max="10504" width="11.88671875" bestFit="1" customWidth="1"/>
    <col min="10505" max="10505" width="13.109375" bestFit="1" customWidth="1"/>
    <col min="10753" max="10753" width="19.33203125" bestFit="1" customWidth="1"/>
    <col min="10754" max="10754" width="25" bestFit="1" customWidth="1"/>
    <col min="10755" max="10755" width="12.44140625" bestFit="1" customWidth="1"/>
    <col min="10757" max="10757" width="11.88671875" bestFit="1" customWidth="1"/>
    <col min="10758" max="10758" width="13.109375" bestFit="1" customWidth="1"/>
    <col min="10760" max="10760" width="11.88671875" bestFit="1" customWidth="1"/>
    <col min="10761" max="10761" width="13.109375" bestFit="1" customWidth="1"/>
    <col min="11009" max="11009" width="19.33203125" bestFit="1" customWidth="1"/>
    <col min="11010" max="11010" width="25" bestFit="1" customWidth="1"/>
    <col min="11011" max="11011" width="12.44140625" bestFit="1" customWidth="1"/>
    <col min="11013" max="11013" width="11.88671875" bestFit="1" customWidth="1"/>
    <col min="11014" max="11014" width="13.109375" bestFit="1" customWidth="1"/>
    <col min="11016" max="11016" width="11.88671875" bestFit="1" customWidth="1"/>
    <col min="11017" max="11017" width="13.109375" bestFit="1" customWidth="1"/>
    <col min="11265" max="11265" width="19.33203125" bestFit="1" customWidth="1"/>
    <col min="11266" max="11266" width="25" bestFit="1" customWidth="1"/>
    <col min="11267" max="11267" width="12.44140625" bestFit="1" customWidth="1"/>
    <col min="11269" max="11269" width="11.88671875" bestFit="1" customWidth="1"/>
    <col min="11270" max="11270" width="13.109375" bestFit="1" customWidth="1"/>
    <col min="11272" max="11272" width="11.88671875" bestFit="1" customWidth="1"/>
    <col min="11273" max="11273" width="13.109375" bestFit="1" customWidth="1"/>
    <col min="11521" max="11521" width="19.33203125" bestFit="1" customWidth="1"/>
    <col min="11522" max="11522" width="25" bestFit="1" customWidth="1"/>
    <col min="11523" max="11523" width="12.44140625" bestFit="1" customWidth="1"/>
    <col min="11525" max="11525" width="11.88671875" bestFit="1" customWidth="1"/>
    <col min="11526" max="11526" width="13.109375" bestFit="1" customWidth="1"/>
    <col min="11528" max="11528" width="11.88671875" bestFit="1" customWidth="1"/>
    <col min="11529" max="11529" width="13.109375" bestFit="1" customWidth="1"/>
    <col min="11777" max="11777" width="19.33203125" bestFit="1" customWidth="1"/>
    <col min="11778" max="11778" width="25" bestFit="1" customWidth="1"/>
    <col min="11779" max="11779" width="12.44140625" bestFit="1" customWidth="1"/>
    <col min="11781" max="11781" width="11.88671875" bestFit="1" customWidth="1"/>
    <col min="11782" max="11782" width="13.109375" bestFit="1" customWidth="1"/>
    <col min="11784" max="11784" width="11.88671875" bestFit="1" customWidth="1"/>
    <col min="11785" max="11785" width="13.109375" bestFit="1" customWidth="1"/>
    <col min="12033" max="12033" width="19.33203125" bestFit="1" customWidth="1"/>
    <col min="12034" max="12034" width="25" bestFit="1" customWidth="1"/>
    <col min="12035" max="12035" width="12.44140625" bestFit="1" customWidth="1"/>
    <col min="12037" max="12037" width="11.88671875" bestFit="1" customWidth="1"/>
    <col min="12038" max="12038" width="13.109375" bestFit="1" customWidth="1"/>
    <col min="12040" max="12040" width="11.88671875" bestFit="1" customWidth="1"/>
    <col min="12041" max="12041" width="13.109375" bestFit="1" customWidth="1"/>
    <col min="12289" max="12289" width="19.33203125" bestFit="1" customWidth="1"/>
    <col min="12290" max="12290" width="25" bestFit="1" customWidth="1"/>
    <col min="12291" max="12291" width="12.44140625" bestFit="1" customWidth="1"/>
    <col min="12293" max="12293" width="11.88671875" bestFit="1" customWidth="1"/>
    <col min="12294" max="12294" width="13.109375" bestFit="1" customWidth="1"/>
    <col min="12296" max="12296" width="11.88671875" bestFit="1" customWidth="1"/>
    <col min="12297" max="12297" width="13.109375" bestFit="1" customWidth="1"/>
    <col min="12545" max="12545" width="19.33203125" bestFit="1" customWidth="1"/>
    <col min="12546" max="12546" width="25" bestFit="1" customWidth="1"/>
    <col min="12547" max="12547" width="12.44140625" bestFit="1" customWidth="1"/>
    <col min="12549" max="12549" width="11.88671875" bestFit="1" customWidth="1"/>
    <col min="12550" max="12550" width="13.109375" bestFit="1" customWidth="1"/>
    <col min="12552" max="12552" width="11.88671875" bestFit="1" customWidth="1"/>
    <col min="12553" max="12553" width="13.109375" bestFit="1" customWidth="1"/>
    <col min="12801" max="12801" width="19.33203125" bestFit="1" customWidth="1"/>
    <col min="12802" max="12802" width="25" bestFit="1" customWidth="1"/>
    <col min="12803" max="12803" width="12.44140625" bestFit="1" customWidth="1"/>
    <col min="12805" max="12805" width="11.88671875" bestFit="1" customWidth="1"/>
    <col min="12806" max="12806" width="13.109375" bestFit="1" customWidth="1"/>
    <col min="12808" max="12808" width="11.88671875" bestFit="1" customWidth="1"/>
    <col min="12809" max="12809" width="13.109375" bestFit="1" customWidth="1"/>
    <col min="13057" max="13057" width="19.33203125" bestFit="1" customWidth="1"/>
    <col min="13058" max="13058" width="25" bestFit="1" customWidth="1"/>
    <col min="13059" max="13059" width="12.44140625" bestFit="1" customWidth="1"/>
    <col min="13061" max="13061" width="11.88671875" bestFit="1" customWidth="1"/>
    <col min="13062" max="13062" width="13.109375" bestFit="1" customWidth="1"/>
    <col min="13064" max="13064" width="11.88671875" bestFit="1" customWidth="1"/>
    <col min="13065" max="13065" width="13.109375" bestFit="1" customWidth="1"/>
    <col min="13313" max="13313" width="19.33203125" bestFit="1" customWidth="1"/>
    <col min="13314" max="13314" width="25" bestFit="1" customWidth="1"/>
    <col min="13315" max="13315" width="12.44140625" bestFit="1" customWidth="1"/>
    <col min="13317" max="13317" width="11.88671875" bestFit="1" customWidth="1"/>
    <col min="13318" max="13318" width="13.109375" bestFit="1" customWidth="1"/>
    <col min="13320" max="13320" width="11.88671875" bestFit="1" customWidth="1"/>
    <col min="13321" max="13321" width="13.109375" bestFit="1" customWidth="1"/>
    <col min="13569" max="13569" width="19.33203125" bestFit="1" customWidth="1"/>
    <col min="13570" max="13570" width="25" bestFit="1" customWidth="1"/>
    <col min="13571" max="13571" width="12.44140625" bestFit="1" customWidth="1"/>
    <col min="13573" max="13573" width="11.88671875" bestFit="1" customWidth="1"/>
    <col min="13574" max="13574" width="13.109375" bestFit="1" customWidth="1"/>
    <col min="13576" max="13576" width="11.88671875" bestFit="1" customWidth="1"/>
    <col min="13577" max="13577" width="13.109375" bestFit="1" customWidth="1"/>
    <col min="13825" max="13825" width="19.33203125" bestFit="1" customWidth="1"/>
    <col min="13826" max="13826" width="25" bestFit="1" customWidth="1"/>
    <col min="13827" max="13827" width="12.44140625" bestFit="1" customWidth="1"/>
    <col min="13829" max="13829" width="11.88671875" bestFit="1" customWidth="1"/>
    <col min="13830" max="13830" width="13.109375" bestFit="1" customWidth="1"/>
    <col min="13832" max="13832" width="11.88671875" bestFit="1" customWidth="1"/>
    <col min="13833" max="13833" width="13.109375" bestFit="1" customWidth="1"/>
    <col min="14081" max="14081" width="19.33203125" bestFit="1" customWidth="1"/>
    <col min="14082" max="14082" width="25" bestFit="1" customWidth="1"/>
    <col min="14083" max="14083" width="12.44140625" bestFit="1" customWidth="1"/>
    <col min="14085" max="14085" width="11.88671875" bestFit="1" customWidth="1"/>
    <col min="14086" max="14086" width="13.109375" bestFit="1" customWidth="1"/>
    <col min="14088" max="14088" width="11.88671875" bestFit="1" customWidth="1"/>
    <col min="14089" max="14089" width="13.109375" bestFit="1" customWidth="1"/>
    <col min="14337" max="14337" width="19.33203125" bestFit="1" customWidth="1"/>
    <col min="14338" max="14338" width="25" bestFit="1" customWidth="1"/>
    <col min="14339" max="14339" width="12.44140625" bestFit="1" customWidth="1"/>
    <col min="14341" max="14341" width="11.88671875" bestFit="1" customWidth="1"/>
    <col min="14342" max="14342" width="13.109375" bestFit="1" customWidth="1"/>
    <col min="14344" max="14344" width="11.88671875" bestFit="1" customWidth="1"/>
    <col min="14345" max="14345" width="13.109375" bestFit="1" customWidth="1"/>
    <col min="14593" max="14593" width="19.33203125" bestFit="1" customWidth="1"/>
    <col min="14594" max="14594" width="25" bestFit="1" customWidth="1"/>
    <col min="14595" max="14595" width="12.44140625" bestFit="1" customWidth="1"/>
    <col min="14597" max="14597" width="11.88671875" bestFit="1" customWidth="1"/>
    <col min="14598" max="14598" width="13.109375" bestFit="1" customWidth="1"/>
    <col min="14600" max="14600" width="11.88671875" bestFit="1" customWidth="1"/>
    <col min="14601" max="14601" width="13.109375" bestFit="1" customWidth="1"/>
    <col min="14849" max="14849" width="19.33203125" bestFit="1" customWidth="1"/>
    <col min="14850" max="14850" width="25" bestFit="1" customWidth="1"/>
    <col min="14851" max="14851" width="12.44140625" bestFit="1" customWidth="1"/>
    <col min="14853" max="14853" width="11.88671875" bestFit="1" customWidth="1"/>
    <col min="14854" max="14854" width="13.109375" bestFit="1" customWidth="1"/>
    <col min="14856" max="14856" width="11.88671875" bestFit="1" customWidth="1"/>
    <col min="14857" max="14857" width="13.109375" bestFit="1" customWidth="1"/>
    <col min="15105" max="15105" width="19.33203125" bestFit="1" customWidth="1"/>
    <col min="15106" max="15106" width="25" bestFit="1" customWidth="1"/>
    <col min="15107" max="15107" width="12.44140625" bestFit="1" customWidth="1"/>
    <col min="15109" max="15109" width="11.88671875" bestFit="1" customWidth="1"/>
    <col min="15110" max="15110" width="13.109375" bestFit="1" customWidth="1"/>
    <col min="15112" max="15112" width="11.88671875" bestFit="1" customWidth="1"/>
    <col min="15113" max="15113" width="13.109375" bestFit="1" customWidth="1"/>
    <col min="15361" max="15361" width="19.33203125" bestFit="1" customWidth="1"/>
    <col min="15362" max="15362" width="25" bestFit="1" customWidth="1"/>
    <col min="15363" max="15363" width="12.44140625" bestFit="1" customWidth="1"/>
    <col min="15365" max="15365" width="11.88671875" bestFit="1" customWidth="1"/>
    <col min="15366" max="15366" width="13.109375" bestFit="1" customWidth="1"/>
    <col min="15368" max="15368" width="11.88671875" bestFit="1" customWidth="1"/>
    <col min="15369" max="15369" width="13.109375" bestFit="1" customWidth="1"/>
    <col min="15617" max="15617" width="19.33203125" bestFit="1" customWidth="1"/>
    <col min="15618" max="15618" width="25" bestFit="1" customWidth="1"/>
    <col min="15619" max="15619" width="12.44140625" bestFit="1" customWidth="1"/>
    <col min="15621" max="15621" width="11.88671875" bestFit="1" customWidth="1"/>
    <col min="15622" max="15622" width="13.109375" bestFit="1" customWidth="1"/>
    <col min="15624" max="15624" width="11.88671875" bestFit="1" customWidth="1"/>
    <col min="15625" max="15625" width="13.109375" bestFit="1" customWidth="1"/>
    <col min="15873" max="15873" width="19.33203125" bestFit="1" customWidth="1"/>
    <col min="15874" max="15874" width="25" bestFit="1" customWidth="1"/>
    <col min="15875" max="15875" width="12.44140625" bestFit="1" customWidth="1"/>
    <col min="15877" max="15877" width="11.88671875" bestFit="1" customWidth="1"/>
    <col min="15878" max="15878" width="13.109375" bestFit="1" customWidth="1"/>
    <col min="15880" max="15880" width="11.88671875" bestFit="1" customWidth="1"/>
    <col min="15881" max="15881" width="13.109375" bestFit="1" customWidth="1"/>
    <col min="16129" max="16129" width="19.33203125" bestFit="1" customWidth="1"/>
    <col min="16130" max="16130" width="25" bestFit="1" customWidth="1"/>
    <col min="16131" max="16131" width="12.44140625" bestFit="1" customWidth="1"/>
    <col min="16133" max="16133" width="11.88671875" bestFit="1" customWidth="1"/>
    <col min="16134" max="16134" width="13.109375" bestFit="1" customWidth="1"/>
    <col min="16136" max="16136" width="11.88671875" bestFit="1" customWidth="1"/>
    <col min="16137" max="16137" width="13.109375" bestFit="1" customWidth="1"/>
  </cols>
  <sheetData>
    <row r="1" spans="1:9" x14ac:dyDescent="0.3">
      <c r="A1" s="140" t="s">
        <v>98</v>
      </c>
      <c r="B1" s="140"/>
      <c r="H1" s="1" t="s">
        <v>99</v>
      </c>
      <c r="I1" s="1" t="s">
        <v>100</v>
      </c>
    </row>
    <row r="2" spans="1:9" x14ac:dyDescent="0.3">
      <c r="A2" s="1" t="s">
        <v>95</v>
      </c>
      <c r="B2" s="64">
        <v>180000</v>
      </c>
      <c r="H2" s="9">
        <f>FV(B6,B7,B10,,0)</f>
        <v>0</v>
      </c>
      <c r="I2" s="68" t="e">
        <f>B2*(B6/((1+B6)^B7-1))</f>
        <v>#DIV/0!</v>
      </c>
    </row>
    <row r="3" spans="1:9" x14ac:dyDescent="0.3">
      <c r="A3" s="1" t="s">
        <v>57</v>
      </c>
      <c r="B3" s="145">
        <v>0.08</v>
      </c>
    </row>
    <row r="4" spans="1:9" x14ac:dyDescent="0.3">
      <c r="A4" s="1" t="s">
        <v>39</v>
      </c>
      <c r="B4" s="1">
        <v>12</v>
      </c>
    </row>
    <row r="5" spans="1:9" x14ac:dyDescent="0.3">
      <c r="A5" s="1" t="s">
        <v>77</v>
      </c>
      <c r="B5" s="1">
        <v>18</v>
      </c>
    </row>
    <row r="6" spans="1:9" x14ac:dyDescent="0.3">
      <c r="A6" s="1" t="s">
        <v>96</v>
      </c>
      <c r="B6" s="148"/>
    </row>
    <row r="7" spans="1:9" x14ac:dyDescent="0.3">
      <c r="A7" s="1" t="s">
        <v>6</v>
      </c>
      <c r="B7" s="42"/>
    </row>
    <row r="8" spans="1:9" x14ac:dyDescent="0.3">
      <c r="A8" s="1" t="s">
        <v>246</v>
      </c>
      <c r="B8" s="3"/>
    </row>
    <row r="9" spans="1:9" x14ac:dyDescent="0.3">
      <c r="A9" s="1" t="s">
        <v>97</v>
      </c>
      <c r="B9" s="65"/>
    </row>
    <row r="10" spans="1:9" x14ac:dyDescent="0.3">
      <c r="A10" s="1" t="s">
        <v>97</v>
      </c>
      <c r="B10" s="66"/>
    </row>
    <row r="11" spans="1:9" ht="28.8" x14ac:dyDescent="0.3">
      <c r="A11" s="1" t="s">
        <v>82</v>
      </c>
      <c r="B11" s="58" t="str">
        <f>IF(B10="","","If I want to save for my daughter's college education, I should invest "&amp;DOLLAR(-B10)&amp;" at the "&amp;IF(B8=0,"end",IF(B8=1,"beginning",""))&amp;" of each period (where i ="&amp;TEXT(B3,"0.00%")&amp;", n = "&amp;B4&amp;", x = "&amp;B5&amp;"). ")</f>
        <v/>
      </c>
      <c r="C11" s="59"/>
      <c r="D11" s="59"/>
      <c r="E11" s="59"/>
      <c r="F11" s="59"/>
      <c r="G11" s="60"/>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1"/>
  <sheetViews>
    <sheetView zoomScale="115" zoomScaleNormal="115" workbookViewId="0">
      <selection activeCell="B6" sqref="B6"/>
    </sheetView>
  </sheetViews>
  <sheetFormatPr defaultRowHeight="14.4" x14ac:dyDescent="0.3"/>
  <cols>
    <col min="1" max="1" width="27.109375" bestFit="1" customWidth="1"/>
    <col min="2" max="2" width="25" bestFit="1" customWidth="1"/>
    <col min="3" max="3" width="12.44140625" bestFit="1" customWidth="1"/>
    <col min="5" max="5" width="11.88671875" bestFit="1" customWidth="1"/>
    <col min="6" max="6" width="13.109375" bestFit="1" customWidth="1"/>
    <col min="8" max="8" width="11.88671875" bestFit="1" customWidth="1"/>
    <col min="9" max="9" width="13.109375" bestFit="1" customWidth="1"/>
    <col min="257" max="257" width="19.33203125" bestFit="1" customWidth="1"/>
    <col min="258" max="258" width="25" bestFit="1" customWidth="1"/>
    <col min="259" max="259" width="12.44140625" bestFit="1" customWidth="1"/>
    <col min="261" max="261" width="11.88671875" bestFit="1" customWidth="1"/>
    <col min="262" max="262" width="13.109375" bestFit="1" customWidth="1"/>
    <col min="264" max="264" width="11.88671875" bestFit="1" customWidth="1"/>
    <col min="265" max="265" width="13.109375" bestFit="1" customWidth="1"/>
    <col min="513" max="513" width="19.33203125" bestFit="1" customWidth="1"/>
    <col min="514" max="514" width="25" bestFit="1" customWidth="1"/>
    <col min="515" max="515" width="12.44140625" bestFit="1" customWidth="1"/>
    <col min="517" max="517" width="11.88671875" bestFit="1" customWidth="1"/>
    <col min="518" max="518" width="13.109375" bestFit="1" customWidth="1"/>
    <col min="520" max="520" width="11.88671875" bestFit="1" customWidth="1"/>
    <col min="521" max="521" width="13.109375" bestFit="1" customWidth="1"/>
    <col min="769" max="769" width="19.33203125" bestFit="1" customWidth="1"/>
    <col min="770" max="770" width="25" bestFit="1" customWidth="1"/>
    <col min="771" max="771" width="12.44140625" bestFit="1" customWidth="1"/>
    <col min="773" max="773" width="11.88671875" bestFit="1" customWidth="1"/>
    <col min="774" max="774" width="13.109375" bestFit="1" customWidth="1"/>
    <col min="776" max="776" width="11.88671875" bestFit="1" customWidth="1"/>
    <col min="777" max="777" width="13.109375" bestFit="1" customWidth="1"/>
    <col min="1025" max="1025" width="19.33203125" bestFit="1" customWidth="1"/>
    <col min="1026" max="1026" width="25" bestFit="1" customWidth="1"/>
    <col min="1027" max="1027" width="12.44140625" bestFit="1" customWidth="1"/>
    <col min="1029" max="1029" width="11.88671875" bestFit="1" customWidth="1"/>
    <col min="1030" max="1030" width="13.109375" bestFit="1" customWidth="1"/>
    <col min="1032" max="1032" width="11.88671875" bestFit="1" customWidth="1"/>
    <col min="1033" max="1033" width="13.109375" bestFit="1" customWidth="1"/>
    <col min="1281" max="1281" width="19.33203125" bestFit="1" customWidth="1"/>
    <col min="1282" max="1282" width="25" bestFit="1" customWidth="1"/>
    <col min="1283" max="1283" width="12.44140625" bestFit="1" customWidth="1"/>
    <col min="1285" max="1285" width="11.88671875" bestFit="1" customWidth="1"/>
    <col min="1286" max="1286" width="13.109375" bestFit="1" customWidth="1"/>
    <col min="1288" max="1288" width="11.88671875" bestFit="1" customWidth="1"/>
    <col min="1289" max="1289" width="13.109375" bestFit="1" customWidth="1"/>
    <col min="1537" max="1537" width="19.33203125" bestFit="1" customWidth="1"/>
    <col min="1538" max="1538" width="25" bestFit="1" customWidth="1"/>
    <col min="1539" max="1539" width="12.44140625" bestFit="1" customWidth="1"/>
    <col min="1541" max="1541" width="11.88671875" bestFit="1" customWidth="1"/>
    <col min="1542" max="1542" width="13.109375" bestFit="1" customWidth="1"/>
    <col min="1544" max="1544" width="11.88671875" bestFit="1" customWidth="1"/>
    <col min="1545" max="1545" width="13.109375" bestFit="1" customWidth="1"/>
    <col min="1793" max="1793" width="19.33203125" bestFit="1" customWidth="1"/>
    <col min="1794" max="1794" width="25" bestFit="1" customWidth="1"/>
    <col min="1795" max="1795" width="12.44140625" bestFit="1" customWidth="1"/>
    <col min="1797" max="1797" width="11.88671875" bestFit="1" customWidth="1"/>
    <col min="1798" max="1798" width="13.109375" bestFit="1" customWidth="1"/>
    <col min="1800" max="1800" width="11.88671875" bestFit="1" customWidth="1"/>
    <col min="1801" max="1801" width="13.109375" bestFit="1" customWidth="1"/>
    <col min="2049" max="2049" width="19.33203125" bestFit="1" customWidth="1"/>
    <col min="2050" max="2050" width="25" bestFit="1" customWidth="1"/>
    <col min="2051" max="2051" width="12.44140625" bestFit="1" customWidth="1"/>
    <col min="2053" max="2053" width="11.88671875" bestFit="1" customWidth="1"/>
    <col min="2054" max="2054" width="13.109375" bestFit="1" customWidth="1"/>
    <col min="2056" max="2056" width="11.88671875" bestFit="1" customWidth="1"/>
    <col min="2057" max="2057" width="13.109375" bestFit="1" customWidth="1"/>
    <col min="2305" max="2305" width="19.33203125" bestFit="1" customWidth="1"/>
    <col min="2306" max="2306" width="25" bestFit="1" customWidth="1"/>
    <col min="2307" max="2307" width="12.44140625" bestFit="1" customWidth="1"/>
    <col min="2309" max="2309" width="11.88671875" bestFit="1" customWidth="1"/>
    <col min="2310" max="2310" width="13.109375" bestFit="1" customWidth="1"/>
    <col min="2312" max="2312" width="11.88671875" bestFit="1" customWidth="1"/>
    <col min="2313" max="2313" width="13.109375" bestFit="1" customWidth="1"/>
    <col min="2561" max="2561" width="19.33203125" bestFit="1" customWidth="1"/>
    <col min="2562" max="2562" width="25" bestFit="1" customWidth="1"/>
    <col min="2563" max="2563" width="12.44140625" bestFit="1" customWidth="1"/>
    <col min="2565" max="2565" width="11.88671875" bestFit="1" customWidth="1"/>
    <col min="2566" max="2566" width="13.109375" bestFit="1" customWidth="1"/>
    <col min="2568" max="2568" width="11.88671875" bestFit="1" customWidth="1"/>
    <col min="2569" max="2569" width="13.109375" bestFit="1" customWidth="1"/>
    <col min="2817" max="2817" width="19.33203125" bestFit="1" customWidth="1"/>
    <col min="2818" max="2818" width="25" bestFit="1" customWidth="1"/>
    <col min="2819" max="2819" width="12.44140625" bestFit="1" customWidth="1"/>
    <col min="2821" max="2821" width="11.88671875" bestFit="1" customWidth="1"/>
    <col min="2822" max="2822" width="13.109375" bestFit="1" customWidth="1"/>
    <col min="2824" max="2824" width="11.88671875" bestFit="1" customWidth="1"/>
    <col min="2825" max="2825" width="13.109375" bestFit="1" customWidth="1"/>
    <col min="3073" max="3073" width="19.33203125" bestFit="1" customWidth="1"/>
    <col min="3074" max="3074" width="25" bestFit="1" customWidth="1"/>
    <col min="3075" max="3075" width="12.44140625" bestFit="1" customWidth="1"/>
    <col min="3077" max="3077" width="11.88671875" bestFit="1" customWidth="1"/>
    <col min="3078" max="3078" width="13.109375" bestFit="1" customWidth="1"/>
    <col min="3080" max="3080" width="11.88671875" bestFit="1" customWidth="1"/>
    <col min="3081" max="3081" width="13.109375" bestFit="1" customWidth="1"/>
    <col min="3329" max="3329" width="19.33203125" bestFit="1" customWidth="1"/>
    <col min="3330" max="3330" width="25" bestFit="1" customWidth="1"/>
    <col min="3331" max="3331" width="12.44140625" bestFit="1" customWidth="1"/>
    <col min="3333" max="3333" width="11.88671875" bestFit="1" customWidth="1"/>
    <col min="3334" max="3334" width="13.109375" bestFit="1" customWidth="1"/>
    <col min="3336" max="3336" width="11.88671875" bestFit="1" customWidth="1"/>
    <col min="3337" max="3337" width="13.109375" bestFit="1" customWidth="1"/>
    <col min="3585" max="3585" width="19.33203125" bestFit="1" customWidth="1"/>
    <col min="3586" max="3586" width="25" bestFit="1" customWidth="1"/>
    <col min="3587" max="3587" width="12.44140625" bestFit="1" customWidth="1"/>
    <col min="3589" max="3589" width="11.88671875" bestFit="1" customWidth="1"/>
    <col min="3590" max="3590" width="13.109375" bestFit="1" customWidth="1"/>
    <col min="3592" max="3592" width="11.88671875" bestFit="1" customWidth="1"/>
    <col min="3593" max="3593" width="13.109375" bestFit="1" customWidth="1"/>
    <col min="3841" max="3841" width="19.33203125" bestFit="1" customWidth="1"/>
    <col min="3842" max="3842" width="25" bestFit="1" customWidth="1"/>
    <col min="3843" max="3843" width="12.44140625" bestFit="1" customWidth="1"/>
    <col min="3845" max="3845" width="11.88671875" bestFit="1" customWidth="1"/>
    <col min="3846" max="3846" width="13.109375" bestFit="1" customWidth="1"/>
    <col min="3848" max="3848" width="11.88671875" bestFit="1" customWidth="1"/>
    <col min="3849" max="3849" width="13.109375" bestFit="1" customWidth="1"/>
    <col min="4097" max="4097" width="19.33203125" bestFit="1" customWidth="1"/>
    <col min="4098" max="4098" width="25" bestFit="1" customWidth="1"/>
    <col min="4099" max="4099" width="12.44140625" bestFit="1" customWidth="1"/>
    <col min="4101" max="4101" width="11.88671875" bestFit="1" customWidth="1"/>
    <col min="4102" max="4102" width="13.109375" bestFit="1" customWidth="1"/>
    <col min="4104" max="4104" width="11.88671875" bestFit="1" customWidth="1"/>
    <col min="4105" max="4105" width="13.109375" bestFit="1" customWidth="1"/>
    <col min="4353" max="4353" width="19.33203125" bestFit="1" customWidth="1"/>
    <col min="4354" max="4354" width="25" bestFit="1" customWidth="1"/>
    <col min="4355" max="4355" width="12.44140625" bestFit="1" customWidth="1"/>
    <col min="4357" max="4357" width="11.88671875" bestFit="1" customWidth="1"/>
    <col min="4358" max="4358" width="13.109375" bestFit="1" customWidth="1"/>
    <col min="4360" max="4360" width="11.88671875" bestFit="1" customWidth="1"/>
    <col min="4361" max="4361" width="13.109375" bestFit="1" customWidth="1"/>
    <col min="4609" max="4609" width="19.33203125" bestFit="1" customWidth="1"/>
    <col min="4610" max="4610" width="25" bestFit="1" customWidth="1"/>
    <col min="4611" max="4611" width="12.44140625" bestFit="1" customWidth="1"/>
    <col min="4613" max="4613" width="11.88671875" bestFit="1" customWidth="1"/>
    <col min="4614" max="4614" width="13.109375" bestFit="1" customWidth="1"/>
    <col min="4616" max="4616" width="11.88671875" bestFit="1" customWidth="1"/>
    <col min="4617" max="4617" width="13.109375" bestFit="1" customWidth="1"/>
    <col min="4865" max="4865" width="19.33203125" bestFit="1" customWidth="1"/>
    <col min="4866" max="4866" width="25" bestFit="1" customWidth="1"/>
    <col min="4867" max="4867" width="12.44140625" bestFit="1" customWidth="1"/>
    <col min="4869" max="4869" width="11.88671875" bestFit="1" customWidth="1"/>
    <col min="4870" max="4870" width="13.109375" bestFit="1" customWidth="1"/>
    <col min="4872" max="4872" width="11.88671875" bestFit="1" customWidth="1"/>
    <col min="4873" max="4873" width="13.109375" bestFit="1" customWidth="1"/>
    <col min="5121" max="5121" width="19.33203125" bestFit="1" customWidth="1"/>
    <col min="5122" max="5122" width="25" bestFit="1" customWidth="1"/>
    <col min="5123" max="5123" width="12.44140625" bestFit="1" customWidth="1"/>
    <col min="5125" max="5125" width="11.88671875" bestFit="1" customWidth="1"/>
    <col min="5126" max="5126" width="13.109375" bestFit="1" customWidth="1"/>
    <col min="5128" max="5128" width="11.88671875" bestFit="1" customWidth="1"/>
    <col min="5129" max="5129" width="13.109375" bestFit="1" customWidth="1"/>
    <col min="5377" max="5377" width="19.33203125" bestFit="1" customWidth="1"/>
    <col min="5378" max="5378" width="25" bestFit="1" customWidth="1"/>
    <col min="5379" max="5379" width="12.44140625" bestFit="1" customWidth="1"/>
    <col min="5381" max="5381" width="11.88671875" bestFit="1" customWidth="1"/>
    <col min="5382" max="5382" width="13.109375" bestFit="1" customWidth="1"/>
    <col min="5384" max="5384" width="11.88671875" bestFit="1" customWidth="1"/>
    <col min="5385" max="5385" width="13.109375" bestFit="1" customWidth="1"/>
    <col min="5633" max="5633" width="19.33203125" bestFit="1" customWidth="1"/>
    <col min="5634" max="5634" width="25" bestFit="1" customWidth="1"/>
    <col min="5635" max="5635" width="12.44140625" bestFit="1" customWidth="1"/>
    <col min="5637" max="5637" width="11.88671875" bestFit="1" customWidth="1"/>
    <col min="5638" max="5638" width="13.109375" bestFit="1" customWidth="1"/>
    <col min="5640" max="5640" width="11.88671875" bestFit="1" customWidth="1"/>
    <col min="5641" max="5641" width="13.109375" bestFit="1" customWidth="1"/>
    <col min="5889" max="5889" width="19.33203125" bestFit="1" customWidth="1"/>
    <col min="5890" max="5890" width="25" bestFit="1" customWidth="1"/>
    <col min="5891" max="5891" width="12.44140625" bestFit="1" customWidth="1"/>
    <col min="5893" max="5893" width="11.88671875" bestFit="1" customWidth="1"/>
    <col min="5894" max="5894" width="13.109375" bestFit="1" customWidth="1"/>
    <col min="5896" max="5896" width="11.88671875" bestFit="1" customWidth="1"/>
    <col min="5897" max="5897" width="13.109375" bestFit="1" customWidth="1"/>
    <col min="6145" max="6145" width="19.33203125" bestFit="1" customWidth="1"/>
    <col min="6146" max="6146" width="25" bestFit="1" customWidth="1"/>
    <col min="6147" max="6147" width="12.44140625" bestFit="1" customWidth="1"/>
    <col min="6149" max="6149" width="11.88671875" bestFit="1" customWidth="1"/>
    <col min="6150" max="6150" width="13.109375" bestFit="1" customWidth="1"/>
    <col min="6152" max="6152" width="11.88671875" bestFit="1" customWidth="1"/>
    <col min="6153" max="6153" width="13.109375" bestFit="1" customWidth="1"/>
    <col min="6401" max="6401" width="19.33203125" bestFit="1" customWidth="1"/>
    <col min="6402" max="6402" width="25" bestFit="1" customWidth="1"/>
    <col min="6403" max="6403" width="12.44140625" bestFit="1" customWidth="1"/>
    <col min="6405" max="6405" width="11.88671875" bestFit="1" customWidth="1"/>
    <col min="6406" max="6406" width="13.109375" bestFit="1" customWidth="1"/>
    <col min="6408" max="6408" width="11.88671875" bestFit="1" customWidth="1"/>
    <col min="6409" max="6409" width="13.109375" bestFit="1" customWidth="1"/>
    <col min="6657" max="6657" width="19.33203125" bestFit="1" customWidth="1"/>
    <col min="6658" max="6658" width="25" bestFit="1" customWidth="1"/>
    <col min="6659" max="6659" width="12.44140625" bestFit="1" customWidth="1"/>
    <col min="6661" max="6661" width="11.88671875" bestFit="1" customWidth="1"/>
    <col min="6662" max="6662" width="13.109375" bestFit="1" customWidth="1"/>
    <col min="6664" max="6664" width="11.88671875" bestFit="1" customWidth="1"/>
    <col min="6665" max="6665" width="13.109375" bestFit="1" customWidth="1"/>
    <col min="6913" max="6913" width="19.33203125" bestFit="1" customWidth="1"/>
    <col min="6914" max="6914" width="25" bestFit="1" customWidth="1"/>
    <col min="6915" max="6915" width="12.44140625" bestFit="1" customWidth="1"/>
    <col min="6917" max="6917" width="11.88671875" bestFit="1" customWidth="1"/>
    <col min="6918" max="6918" width="13.109375" bestFit="1" customWidth="1"/>
    <col min="6920" max="6920" width="11.88671875" bestFit="1" customWidth="1"/>
    <col min="6921" max="6921" width="13.109375" bestFit="1" customWidth="1"/>
    <col min="7169" max="7169" width="19.33203125" bestFit="1" customWidth="1"/>
    <col min="7170" max="7170" width="25" bestFit="1" customWidth="1"/>
    <col min="7171" max="7171" width="12.44140625" bestFit="1" customWidth="1"/>
    <col min="7173" max="7173" width="11.88671875" bestFit="1" customWidth="1"/>
    <col min="7174" max="7174" width="13.109375" bestFit="1" customWidth="1"/>
    <col min="7176" max="7176" width="11.88671875" bestFit="1" customWidth="1"/>
    <col min="7177" max="7177" width="13.109375" bestFit="1" customWidth="1"/>
    <col min="7425" max="7425" width="19.33203125" bestFit="1" customWidth="1"/>
    <col min="7426" max="7426" width="25" bestFit="1" customWidth="1"/>
    <col min="7427" max="7427" width="12.44140625" bestFit="1" customWidth="1"/>
    <col min="7429" max="7429" width="11.88671875" bestFit="1" customWidth="1"/>
    <col min="7430" max="7430" width="13.109375" bestFit="1" customWidth="1"/>
    <col min="7432" max="7432" width="11.88671875" bestFit="1" customWidth="1"/>
    <col min="7433" max="7433" width="13.109375" bestFit="1" customWidth="1"/>
    <col min="7681" max="7681" width="19.33203125" bestFit="1" customWidth="1"/>
    <col min="7682" max="7682" width="25" bestFit="1" customWidth="1"/>
    <col min="7683" max="7683" width="12.44140625" bestFit="1" customWidth="1"/>
    <col min="7685" max="7685" width="11.88671875" bestFit="1" customWidth="1"/>
    <col min="7686" max="7686" width="13.109375" bestFit="1" customWidth="1"/>
    <col min="7688" max="7688" width="11.88671875" bestFit="1" customWidth="1"/>
    <col min="7689" max="7689" width="13.109375" bestFit="1" customWidth="1"/>
    <col min="7937" max="7937" width="19.33203125" bestFit="1" customWidth="1"/>
    <col min="7938" max="7938" width="25" bestFit="1" customWidth="1"/>
    <col min="7939" max="7939" width="12.44140625" bestFit="1" customWidth="1"/>
    <col min="7941" max="7941" width="11.88671875" bestFit="1" customWidth="1"/>
    <col min="7942" max="7942" width="13.109375" bestFit="1" customWidth="1"/>
    <col min="7944" max="7944" width="11.88671875" bestFit="1" customWidth="1"/>
    <col min="7945" max="7945" width="13.109375" bestFit="1" customWidth="1"/>
    <col min="8193" max="8193" width="19.33203125" bestFit="1" customWidth="1"/>
    <col min="8194" max="8194" width="25" bestFit="1" customWidth="1"/>
    <col min="8195" max="8195" width="12.44140625" bestFit="1" customWidth="1"/>
    <col min="8197" max="8197" width="11.88671875" bestFit="1" customWidth="1"/>
    <col min="8198" max="8198" width="13.109375" bestFit="1" customWidth="1"/>
    <col min="8200" max="8200" width="11.88671875" bestFit="1" customWidth="1"/>
    <col min="8201" max="8201" width="13.109375" bestFit="1" customWidth="1"/>
    <col min="8449" max="8449" width="19.33203125" bestFit="1" customWidth="1"/>
    <col min="8450" max="8450" width="25" bestFit="1" customWidth="1"/>
    <col min="8451" max="8451" width="12.44140625" bestFit="1" customWidth="1"/>
    <col min="8453" max="8453" width="11.88671875" bestFit="1" customWidth="1"/>
    <col min="8454" max="8454" width="13.109375" bestFit="1" customWidth="1"/>
    <col min="8456" max="8456" width="11.88671875" bestFit="1" customWidth="1"/>
    <col min="8457" max="8457" width="13.109375" bestFit="1" customWidth="1"/>
    <col min="8705" max="8705" width="19.33203125" bestFit="1" customWidth="1"/>
    <col min="8706" max="8706" width="25" bestFit="1" customWidth="1"/>
    <col min="8707" max="8707" width="12.44140625" bestFit="1" customWidth="1"/>
    <col min="8709" max="8709" width="11.88671875" bestFit="1" customWidth="1"/>
    <col min="8710" max="8710" width="13.109375" bestFit="1" customWidth="1"/>
    <col min="8712" max="8712" width="11.88671875" bestFit="1" customWidth="1"/>
    <col min="8713" max="8713" width="13.109375" bestFit="1" customWidth="1"/>
    <col min="8961" max="8961" width="19.33203125" bestFit="1" customWidth="1"/>
    <col min="8962" max="8962" width="25" bestFit="1" customWidth="1"/>
    <col min="8963" max="8963" width="12.44140625" bestFit="1" customWidth="1"/>
    <col min="8965" max="8965" width="11.88671875" bestFit="1" customWidth="1"/>
    <col min="8966" max="8966" width="13.109375" bestFit="1" customWidth="1"/>
    <col min="8968" max="8968" width="11.88671875" bestFit="1" customWidth="1"/>
    <col min="8969" max="8969" width="13.109375" bestFit="1" customWidth="1"/>
    <col min="9217" max="9217" width="19.33203125" bestFit="1" customWidth="1"/>
    <col min="9218" max="9218" width="25" bestFit="1" customWidth="1"/>
    <col min="9219" max="9219" width="12.44140625" bestFit="1" customWidth="1"/>
    <col min="9221" max="9221" width="11.88671875" bestFit="1" customWidth="1"/>
    <col min="9222" max="9222" width="13.109375" bestFit="1" customWidth="1"/>
    <col min="9224" max="9224" width="11.88671875" bestFit="1" customWidth="1"/>
    <col min="9225" max="9225" width="13.109375" bestFit="1" customWidth="1"/>
    <col min="9473" max="9473" width="19.33203125" bestFit="1" customWidth="1"/>
    <col min="9474" max="9474" width="25" bestFit="1" customWidth="1"/>
    <col min="9475" max="9475" width="12.44140625" bestFit="1" customWidth="1"/>
    <col min="9477" max="9477" width="11.88671875" bestFit="1" customWidth="1"/>
    <col min="9478" max="9478" width="13.109375" bestFit="1" customWidth="1"/>
    <col min="9480" max="9480" width="11.88671875" bestFit="1" customWidth="1"/>
    <col min="9481" max="9481" width="13.109375" bestFit="1" customWidth="1"/>
    <col min="9729" max="9729" width="19.33203125" bestFit="1" customWidth="1"/>
    <col min="9730" max="9730" width="25" bestFit="1" customWidth="1"/>
    <col min="9731" max="9731" width="12.44140625" bestFit="1" customWidth="1"/>
    <col min="9733" max="9733" width="11.88671875" bestFit="1" customWidth="1"/>
    <col min="9734" max="9734" width="13.109375" bestFit="1" customWidth="1"/>
    <col min="9736" max="9736" width="11.88671875" bestFit="1" customWidth="1"/>
    <col min="9737" max="9737" width="13.109375" bestFit="1" customWidth="1"/>
    <col min="9985" max="9985" width="19.33203125" bestFit="1" customWidth="1"/>
    <col min="9986" max="9986" width="25" bestFit="1" customWidth="1"/>
    <col min="9987" max="9987" width="12.44140625" bestFit="1" customWidth="1"/>
    <col min="9989" max="9989" width="11.88671875" bestFit="1" customWidth="1"/>
    <col min="9990" max="9990" width="13.109375" bestFit="1" customWidth="1"/>
    <col min="9992" max="9992" width="11.88671875" bestFit="1" customWidth="1"/>
    <col min="9993" max="9993" width="13.109375" bestFit="1" customWidth="1"/>
    <col min="10241" max="10241" width="19.33203125" bestFit="1" customWidth="1"/>
    <col min="10242" max="10242" width="25" bestFit="1" customWidth="1"/>
    <col min="10243" max="10243" width="12.44140625" bestFit="1" customWidth="1"/>
    <col min="10245" max="10245" width="11.88671875" bestFit="1" customWidth="1"/>
    <col min="10246" max="10246" width="13.109375" bestFit="1" customWidth="1"/>
    <col min="10248" max="10248" width="11.88671875" bestFit="1" customWidth="1"/>
    <col min="10249" max="10249" width="13.109375" bestFit="1" customWidth="1"/>
    <col min="10497" max="10497" width="19.33203125" bestFit="1" customWidth="1"/>
    <col min="10498" max="10498" width="25" bestFit="1" customWidth="1"/>
    <col min="10499" max="10499" width="12.44140625" bestFit="1" customWidth="1"/>
    <col min="10501" max="10501" width="11.88671875" bestFit="1" customWidth="1"/>
    <col min="10502" max="10502" width="13.109375" bestFit="1" customWidth="1"/>
    <col min="10504" max="10504" width="11.88671875" bestFit="1" customWidth="1"/>
    <col min="10505" max="10505" width="13.109375" bestFit="1" customWidth="1"/>
    <col min="10753" max="10753" width="19.33203125" bestFit="1" customWidth="1"/>
    <col min="10754" max="10754" width="25" bestFit="1" customWidth="1"/>
    <col min="10755" max="10755" width="12.44140625" bestFit="1" customWidth="1"/>
    <col min="10757" max="10757" width="11.88671875" bestFit="1" customWidth="1"/>
    <col min="10758" max="10758" width="13.109375" bestFit="1" customWidth="1"/>
    <col min="10760" max="10760" width="11.88671875" bestFit="1" customWidth="1"/>
    <col min="10761" max="10761" width="13.109375" bestFit="1" customWidth="1"/>
    <col min="11009" max="11009" width="19.33203125" bestFit="1" customWidth="1"/>
    <col min="11010" max="11010" width="25" bestFit="1" customWidth="1"/>
    <col min="11011" max="11011" width="12.44140625" bestFit="1" customWidth="1"/>
    <col min="11013" max="11013" width="11.88671875" bestFit="1" customWidth="1"/>
    <col min="11014" max="11014" width="13.109375" bestFit="1" customWidth="1"/>
    <col min="11016" max="11016" width="11.88671875" bestFit="1" customWidth="1"/>
    <col min="11017" max="11017" width="13.109375" bestFit="1" customWidth="1"/>
    <col min="11265" max="11265" width="19.33203125" bestFit="1" customWidth="1"/>
    <col min="11266" max="11266" width="25" bestFit="1" customWidth="1"/>
    <col min="11267" max="11267" width="12.44140625" bestFit="1" customWidth="1"/>
    <col min="11269" max="11269" width="11.88671875" bestFit="1" customWidth="1"/>
    <col min="11270" max="11270" width="13.109375" bestFit="1" customWidth="1"/>
    <col min="11272" max="11272" width="11.88671875" bestFit="1" customWidth="1"/>
    <col min="11273" max="11273" width="13.109375" bestFit="1" customWidth="1"/>
    <col min="11521" max="11521" width="19.33203125" bestFit="1" customWidth="1"/>
    <col min="11522" max="11522" width="25" bestFit="1" customWidth="1"/>
    <col min="11523" max="11523" width="12.44140625" bestFit="1" customWidth="1"/>
    <col min="11525" max="11525" width="11.88671875" bestFit="1" customWidth="1"/>
    <col min="11526" max="11526" width="13.109375" bestFit="1" customWidth="1"/>
    <col min="11528" max="11528" width="11.88671875" bestFit="1" customWidth="1"/>
    <col min="11529" max="11529" width="13.109375" bestFit="1" customWidth="1"/>
    <col min="11777" max="11777" width="19.33203125" bestFit="1" customWidth="1"/>
    <col min="11778" max="11778" width="25" bestFit="1" customWidth="1"/>
    <col min="11779" max="11779" width="12.44140625" bestFit="1" customWidth="1"/>
    <col min="11781" max="11781" width="11.88671875" bestFit="1" customWidth="1"/>
    <col min="11782" max="11782" width="13.109375" bestFit="1" customWidth="1"/>
    <col min="11784" max="11784" width="11.88671875" bestFit="1" customWidth="1"/>
    <col min="11785" max="11785" width="13.109375" bestFit="1" customWidth="1"/>
    <col min="12033" max="12033" width="19.33203125" bestFit="1" customWidth="1"/>
    <col min="12034" max="12034" width="25" bestFit="1" customWidth="1"/>
    <col min="12035" max="12035" width="12.44140625" bestFit="1" customWidth="1"/>
    <col min="12037" max="12037" width="11.88671875" bestFit="1" customWidth="1"/>
    <col min="12038" max="12038" width="13.109375" bestFit="1" customWidth="1"/>
    <col min="12040" max="12040" width="11.88671875" bestFit="1" customWidth="1"/>
    <col min="12041" max="12041" width="13.109375" bestFit="1" customWidth="1"/>
    <col min="12289" max="12289" width="19.33203125" bestFit="1" customWidth="1"/>
    <col min="12290" max="12290" width="25" bestFit="1" customWidth="1"/>
    <col min="12291" max="12291" width="12.44140625" bestFit="1" customWidth="1"/>
    <col min="12293" max="12293" width="11.88671875" bestFit="1" customWidth="1"/>
    <col min="12294" max="12294" width="13.109375" bestFit="1" customWidth="1"/>
    <col min="12296" max="12296" width="11.88671875" bestFit="1" customWidth="1"/>
    <col min="12297" max="12297" width="13.109375" bestFit="1" customWidth="1"/>
    <col min="12545" max="12545" width="19.33203125" bestFit="1" customWidth="1"/>
    <col min="12546" max="12546" width="25" bestFit="1" customWidth="1"/>
    <col min="12547" max="12547" width="12.44140625" bestFit="1" customWidth="1"/>
    <col min="12549" max="12549" width="11.88671875" bestFit="1" customWidth="1"/>
    <col min="12550" max="12550" width="13.109375" bestFit="1" customWidth="1"/>
    <col min="12552" max="12552" width="11.88671875" bestFit="1" customWidth="1"/>
    <col min="12553" max="12553" width="13.109375" bestFit="1" customWidth="1"/>
    <col min="12801" max="12801" width="19.33203125" bestFit="1" customWidth="1"/>
    <col min="12802" max="12802" width="25" bestFit="1" customWidth="1"/>
    <col min="12803" max="12803" width="12.44140625" bestFit="1" customWidth="1"/>
    <col min="12805" max="12805" width="11.88671875" bestFit="1" customWidth="1"/>
    <col min="12806" max="12806" width="13.109375" bestFit="1" customWidth="1"/>
    <col min="12808" max="12808" width="11.88671875" bestFit="1" customWidth="1"/>
    <col min="12809" max="12809" width="13.109375" bestFit="1" customWidth="1"/>
    <col min="13057" max="13057" width="19.33203125" bestFit="1" customWidth="1"/>
    <col min="13058" max="13058" width="25" bestFit="1" customWidth="1"/>
    <col min="13059" max="13059" width="12.44140625" bestFit="1" customWidth="1"/>
    <col min="13061" max="13061" width="11.88671875" bestFit="1" customWidth="1"/>
    <col min="13062" max="13062" width="13.109375" bestFit="1" customWidth="1"/>
    <col min="13064" max="13064" width="11.88671875" bestFit="1" customWidth="1"/>
    <col min="13065" max="13065" width="13.109375" bestFit="1" customWidth="1"/>
    <col min="13313" max="13313" width="19.33203125" bestFit="1" customWidth="1"/>
    <col min="13314" max="13314" width="25" bestFit="1" customWidth="1"/>
    <col min="13315" max="13315" width="12.44140625" bestFit="1" customWidth="1"/>
    <col min="13317" max="13317" width="11.88671875" bestFit="1" customWidth="1"/>
    <col min="13318" max="13318" width="13.109375" bestFit="1" customWidth="1"/>
    <col min="13320" max="13320" width="11.88671875" bestFit="1" customWidth="1"/>
    <col min="13321" max="13321" width="13.109375" bestFit="1" customWidth="1"/>
    <col min="13569" max="13569" width="19.33203125" bestFit="1" customWidth="1"/>
    <col min="13570" max="13570" width="25" bestFit="1" customWidth="1"/>
    <col min="13571" max="13571" width="12.44140625" bestFit="1" customWidth="1"/>
    <col min="13573" max="13573" width="11.88671875" bestFit="1" customWidth="1"/>
    <col min="13574" max="13574" width="13.109375" bestFit="1" customWidth="1"/>
    <col min="13576" max="13576" width="11.88671875" bestFit="1" customWidth="1"/>
    <col min="13577" max="13577" width="13.109375" bestFit="1" customWidth="1"/>
    <col min="13825" max="13825" width="19.33203125" bestFit="1" customWidth="1"/>
    <col min="13826" max="13826" width="25" bestFit="1" customWidth="1"/>
    <col min="13827" max="13827" width="12.44140625" bestFit="1" customWidth="1"/>
    <col min="13829" max="13829" width="11.88671875" bestFit="1" customWidth="1"/>
    <col min="13830" max="13830" width="13.109375" bestFit="1" customWidth="1"/>
    <col min="13832" max="13832" width="11.88671875" bestFit="1" customWidth="1"/>
    <col min="13833" max="13833" width="13.109375" bestFit="1" customWidth="1"/>
    <col min="14081" max="14081" width="19.33203125" bestFit="1" customWidth="1"/>
    <col min="14082" max="14082" width="25" bestFit="1" customWidth="1"/>
    <col min="14083" max="14083" width="12.44140625" bestFit="1" customWidth="1"/>
    <col min="14085" max="14085" width="11.88671875" bestFit="1" customWidth="1"/>
    <col min="14086" max="14086" width="13.109375" bestFit="1" customWidth="1"/>
    <col min="14088" max="14088" width="11.88671875" bestFit="1" customWidth="1"/>
    <col min="14089" max="14089" width="13.109375" bestFit="1" customWidth="1"/>
    <col min="14337" max="14337" width="19.33203125" bestFit="1" customWidth="1"/>
    <col min="14338" max="14338" width="25" bestFit="1" customWidth="1"/>
    <col min="14339" max="14339" width="12.44140625" bestFit="1" customWidth="1"/>
    <col min="14341" max="14341" width="11.88671875" bestFit="1" customWidth="1"/>
    <col min="14342" max="14342" width="13.109375" bestFit="1" customWidth="1"/>
    <col min="14344" max="14344" width="11.88671875" bestFit="1" customWidth="1"/>
    <col min="14345" max="14345" width="13.109375" bestFit="1" customWidth="1"/>
    <col min="14593" max="14593" width="19.33203125" bestFit="1" customWidth="1"/>
    <col min="14594" max="14594" width="25" bestFit="1" customWidth="1"/>
    <col min="14595" max="14595" width="12.44140625" bestFit="1" customWidth="1"/>
    <col min="14597" max="14597" width="11.88671875" bestFit="1" customWidth="1"/>
    <col min="14598" max="14598" width="13.109375" bestFit="1" customWidth="1"/>
    <col min="14600" max="14600" width="11.88671875" bestFit="1" customWidth="1"/>
    <col min="14601" max="14601" width="13.109375" bestFit="1" customWidth="1"/>
    <col min="14849" max="14849" width="19.33203125" bestFit="1" customWidth="1"/>
    <col min="14850" max="14850" width="25" bestFit="1" customWidth="1"/>
    <col min="14851" max="14851" width="12.44140625" bestFit="1" customWidth="1"/>
    <col min="14853" max="14853" width="11.88671875" bestFit="1" customWidth="1"/>
    <col min="14854" max="14854" width="13.109375" bestFit="1" customWidth="1"/>
    <col min="14856" max="14856" width="11.88671875" bestFit="1" customWidth="1"/>
    <col min="14857" max="14857" width="13.109375" bestFit="1" customWidth="1"/>
    <col min="15105" max="15105" width="19.33203125" bestFit="1" customWidth="1"/>
    <col min="15106" max="15106" width="25" bestFit="1" customWidth="1"/>
    <col min="15107" max="15107" width="12.44140625" bestFit="1" customWidth="1"/>
    <col min="15109" max="15109" width="11.88671875" bestFit="1" customWidth="1"/>
    <col min="15110" max="15110" width="13.109375" bestFit="1" customWidth="1"/>
    <col min="15112" max="15112" width="11.88671875" bestFit="1" customWidth="1"/>
    <col min="15113" max="15113" width="13.109375" bestFit="1" customWidth="1"/>
    <col min="15361" max="15361" width="19.33203125" bestFit="1" customWidth="1"/>
    <col min="15362" max="15362" width="25" bestFit="1" customWidth="1"/>
    <col min="15363" max="15363" width="12.44140625" bestFit="1" customWidth="1"/>
    <col min="15365" max="15365" width="11.88671875" bestFit="1" customWidth="1"/>
    <col min="15366" max="15366" width="13.109375" bestFit="1" customWidth="1"/>
    <col min="15368" max="15368" width="11.88671875" bestFit="1" customWidth="1"/>
    <col min="15369" max="15369" width="13.109375" bestFit="1" customWidth="1"/>
    <col min="15617" max="15617" width="19.33203125" bestFit="1" customWidth="1"/>
    <col min="15618" max="15618" width="25" bestFit="1" customWidth="1"/>
    <col min="15619" max="15619" width="12.44140625" bestFit="1" customWidth="1"/>
    <col min="15621" max="15621" width="11.88671875" bestFit="1" customWidth="1"/>
    <col min="15622" max="15622" width="13.109375" bestFit="1" customWidth="1"/>
    <col min="15624" max="15624" width="11.88671875" bestFit="1" customWidth="1"/>
    <col min="15625" max="15625" width="13.109375" bestFit="1" customWidth="1"/>
    <col min="15873" max="15873" width="19.33203125" bestFit="1" customWidth="1"/>
    <col min="15874" max="15874" width="25" bestFit="1" customWidth="1"/>
    <col min="15875" max="15875" width="12.44140625" bestFit="1" customWidth="1"/>
    <col min="15877" max="15877" width="11.88671875" bestFit="1" customWidth="1"/>
    <col min="15878" max="15878" width="13.109375" bestFit="1" customWidth="1"/>
    <col min="15880" max="15880" width="11.88671875" bestFit="1" customWidth="1"/>
    <col min="15881" max="15881" width="13.109375" bestFit="1" customWidth="1"/>
    <col min="16129" max="16129" width="19.33203125" bestFit="1" customWidth="1"/>
    <col min="16130" max="16130" width="25" bestFit="1" customWidth="1"/>
    <col min="16131" max="16131" width="12.44140625" bestFit="1" customWidth="1"/>
    <col min="16133" max="16133" width="11.88671875" bestFit="1" customWidth="1"/>
    <col min="16134" max="16134" width="13.109375" bestFit="1" customWidth="1"/>
    <col min="16136" max="16136" width="11.88671875" bestFit="1" customWidth="1"/>
    <col min="16137" max="16137" width="13.109375" bestFit="1" customWidth="1"/>
  </cols>
  <sheetData>
    <row r="1" spans="1:9" x14ac:dyDescent="0.3">
      <c r="A1" s="140" t="s">
        <v>98</v>
      </c>
      <c r="B1" s="140"/>
      <c r="H1" s="1" t="s">
        <v>99</v>
      </c>
      <c r="I1" s="1" t="s">
        <v>100</v>
      </c>
    </row>
    <row r="2" spans="1:9" x14ac:dyDescent="0.3">
      <c r="A2" s="1" t="s">
        <v>95</v>
      </c>
      <c r="B2" s="64">
        <v>250000</v>
      </c>
      <c r="H2" s="9">
        <f>FV(B6,B7,B10,,0)</f>
        <v>250000.00000000579</v>
      </c>
      <c r="I2" s="68">
        <f>B2*(B6/((1+B6)^B7-1))</f>
        <v>370.95744124385368</v>
      </c>
    </row>
    <row r="3" spans="1:9" x14ac:dyDescent="0.3">
      <c r="A3" s="1" t="s">
        <v>57</v>
      </c>
      <c r="B3" s="145">
        <v>0.11</v>
      </c>
    </row>
    <row r="4" spans="1:9" x14ac:dyDescent="0.3">
      <c r="A4" s="1" t="s">
        <v>39</v>
      </c>
      <c r="B4" s="1">
        <v>12</v>
      </c>
    </row>
    <row r="5" spans="1:9" x14ac:dyDescent="0.3">
      <c r="A5" s="1" t="s">
        <v>77</v>
      </c>
      <c r="B5" s="1">
        <v>18</v>
      </c>
    </row>
    <row r="6" spans="1:9" x14ac:dyDescent="0.3">
      <c r="A6" s="1" t="s">
        <v>96</v>
      </c>
      <c r="B6" s="148">
        <f>B3/B4</f>
        <v>9.1666666666666667E-3</v>
      </c>
    </row>
    <row r="7" spans="1:9" x14ac:dyDescent="0.3">
      <c r="A7" s="1" t="s">
        <v>6</v>
      </c>
      <c r="B7" s="42">
        <f>B5*B4</f>
        <v>216</v>
      </c>
    </row>
    <row r="8" spans="1:9" x14ac:dyDescent="0.3">
      <c r="A8" s="1" t="s">
        <v>246</v>
      </c>
      <c r="B8" s="3"/>
    </row>
    <row r="9" spans="1:9" x14ac:dyDescent="0.3">
      <c r="A9" s="1" t="s">
        <v>97</v>
      </c>
      <c r="B9" s="65">
        <f>B2/(((1+B6)^B7-1)/B6)</f>
        <v>370.95744124385374</v>
      </c>
    </row>
    <row r="10" spans="1:9" x14ac:dyDescent="0.3">
      <c r="A10" s="1" t="s">
        <v>97</v>
      </c>
      <c r="B10" s="66">
        <f>PMT(B6,B7,,B2)</f>
        <v>-370.95744124386232</v>
      </c>
    </row>
    <row r="11" spans="1:9" ht="28.8" x14ac:dyDescent="0.3">
      <c r="A11" s="1" t="s">
        <v>82</v>
      </c>
      <c r="B11" s="58" t="str">
        <f>IF(B10="","","If I want to save for my daughter's college education, I should invest "&amp;DOLLAR(-B10)&amp;" at the "&amp;IF(B8=0,"end",IF(B8=1,"beginning",""))&amp;" of each period (where i ="&amp;TEXT(B3,"0.00%")&amp;", n = "&amp;B4&amp;", x = "&amp;B5&amp;"). ")</f>
        <v xml:space="preserve">If I want to save for my daughter's college education, I should invest $370.96 at the end of each period (where i =11.00%, n = 12, x = 18). </v>
      </c>
      <c r="C11" s="59"/>
      <c r="D11" s="59"/>
      <c r="E11" s="59"/>
      <c r="F11" s="59"/>
      <c r="G11" s="6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17"/>
  <sheetViews>
    <sheetView zoomScaleNormal="100" workbookViewId="0">
      <selection activeCell="B6" sqref="B6"/>
    </sheetView>
  </sheetViews>
  <sheetFormatPr defaultRowHeight="14.4" x14ac:dyDescent="0.3"/>
  <cols>
    <col min="1" max="1" width="22.5546875" customWidth="1"/>
    <col min="6" max="6" width="11.6640625" bestFit="1" customWidth="1"/>
    <col min="257" max="257" width="22.5546875" customWidth="1"/>
    <col min="513" max="513" width="22.5546875" customWidth="1"/>
    <col min="769" max="769" width="22.5546875" customWidth="1"/>
    <col min="1025" max="1025" width="22.5546875" customWidth="1"/>
    <col min="1281" max="1281" width="22.5546875" customWidth="1"/>
    <col min="1537" max="1537" width="22.5546875" customWidth="1"/>
    <col min="1793" max="1793" width="22.5546875" customWidth="1"/>
    <col min="2049" max="2049" width="22.5546875" customWidth="1"/>
    <col min="2305" max="2305" width="22.5546875" customWidth="1"/>
    <col min="2561" max="2561" width="22.5546875" customWidth="1"/>
    <col min="2817" max="2817" width="22.5546875" customWidth="1"/>
    <col min="3073" max="3073" width="22.5546875" customWidth="1"/>
    <col min="3329" max="3329" width="22.5546875" customWidth="1"/>
    <col min="3585" max="3585" width="22.5546875" customWidth="1"/>
    <col min="3841" max="3841" width="22.5546875" customWidth="1"/>
    <col min="4097" max="4097" width="22.5546875" customWidth="1"/>
    <col min="4353" max="4353" width="22.5546875" customWidth="1"/>
    <col min="4609" max="4609" width="22.5546875" customWidth="1"/>
    <col min="4865" max="4865" width="22.5546875" customWidth="1"/>
    <col min="5121" max="5121" width="22.5546875" customWidth="1"/>
    <col min="5377" max="5377" width="22.5546875" customWidth="1"/>
    <col min="5633" max="5633" width="22.5546875" customWidth="1"/>
    <col min="5889" max="5889" width="22.5546875" customWidth="1"/>
    <col min="6145" max="6145" width="22.5546875" customWidth="1"/>
    <col min="6401" max="6401" width="22.5546875" customWidth="1"/>
    <col min="6657" max="6657" width="22.5546875" customWidth="1"/>
    <col min="6913" max="6913" width="22.5546875" customWidth="1"/>
    <col min="7169" max="7169" width="22.5546875" customWidth="1"/>
    <col min="7425" max="7425" width="22.5546875" customWidth="1"/>
    <col min="7681" max="7681" width="22.5546875" customWidth="1"/>
    <col min="7937" max="7937" width="22.5546875" customWidth="1"/>
    <col min="8193" max="8193" width="22.5546875" customWidth="1"/>
    <col min="8449" max="8449" width="22.5546875" customWidth="1"/>
    <col min="8705" max="8705" width="22.5546875" customWidth="1"/>
    <col min="8961" max="8961" width="22.5546875" customWidth="1"/>
    <col min="9217" max="9217" width="22.5546875" customWidth="1"/>
    <col min="9473" max="9473" width="22.5546875" customWidth="1"/>
    <col min="9729" max="9729" width="22.5546875" customWidth="1"/>
    <col min="9985" max="9985" width="22.5546875" customWidth="1"/>
    <col min="10241" max="10241" width="22.5546875" customWidth="1"/>
    <col min="10497" max="10497" width="22.5546875" customWidth="1"/>
    <col min="10753" max="10753" width="22.5546875" customWidth="1"/>
    <col min="11009" max="11009" width="22.5546875" customWidth="1"/>
    <col min="11265" max="11265" width="22.5546875" customWidth="1"/>
    <col min="11521" max="11521" width="22.5546875" customWidth="1"/>
    <col min="11777" max="11777" width="22.5546875" customWidth="1"/>
    <col min="12033" max="12033" width="22.5546875" customWidth="1"/>
    <col min="12289" max="12289" width="22.5546875" customWidth="1"/>
    <col min="12545" max="12545" width="22.5546875" customWidth="1"/>
    <col min="12801" max="12801" width="22.5546875" customWidth="1"/>
    <col min="13057" max="13057" width="22.5546875" customWidth="1"/>
    <col min="13313" max="13313" width="22.5546875" customWidth="1"/>
    <col min="13569" max="13569" width="22.5546875" customWidth="1"/>
    <col min="13825" max="13825" width="22.5546875" customWidth="1"/>
    <col min="14081" max="14081" width="22.5546875" customWidth="1"/>
    <col min="14337" max="14337" width="22.5546875" customWidth="1"/>
    <col min="14593" max="14593" width="22.5546875" customWidth="1"/>
    <col min="14849" max="14849" width="22.5546875" customWidth="1"/>
    <col min="15105" max="15105" width="22.5546875" customWidth="1"/>
    <col min="15361" max="15361" width="22.5546875" customWidth="1"/>
    <col min="15617" max="15617" width="22.5546875" customWidth="1"/>
    <col min="15873" max="15873" width="22.5546875" customWidth="1"/>
    <col min="16129" max="16129" width="22.5546875" customWidth="1"/>
  </cols>
  <sheetData>
    <row r="1" spans="1:8" ht="57.6" x14ac:dyDescent="0.3">
      <c r="A1" s="34" t="str">
        <f>"If we want to withdraw "&amp;DOLLAR(B2)&amp;" at the end of each year (these are cash flows in the future), for the next "&amp;B5&amp;" years, how much do we have to deposit in the bank today (Present Value) if the APR is "&amp;TEXT(B3,"0.00%")&amp;" compounded "&amp;B4&amp;" time a year?"</f>
        <v>If we want to withdraw $50.00 at the end of each year (these are cash flows in the future), for the next 3 years, how much do we have to deposit in the bank today (Present Value) if the APR is 12.00% compounded 1 time a year?</v>
      </c>
      <c r="B1" s="34"/>
      <c r="C1" s="144"/>
      <c r="D1" s="144"/>
      <c r="E1" s="141"/>
    </row>
    <row r="2" spans="1:8" x14ac:dyDescent="0.3">
      <c r="A2" s="1" t="s">
        <v>97</v>
      </c>
      <c r="B2" s="1">
        <v>50</v>
      </c>
    </row>
    <row r="3" spans="1:8" x14ac:dyDescent="0.3">
      <c r="A3" s="1" t="s">
        <v>101</v>
      </c>
      <c r="B3" s="1">
        <v>0.12</v>
      </c>
      <c r="C3" t="s">
        <v>251</v>
      </c>
    </row>
    <row r="4" spans="1:8" x14ac:dyDescent="0.3">
      <c r="A4" s="1" t="s">
        <v>39</v>
      </c>
      <c r="B4" s="1">
        <v>1</v>
      </c>
    </row>
    <row r="5" spans="1:8" x14ac:dyDescent="0.3">
      <c r="A5" s="1" t="s">
        <v>77</v>
      </c>
      <c r="B5" s="1">
        <v>3</v>
      </c>
      <c r="D5" s="1" t="s">
        <v>5</v>
      </c>
      <c r="E5" s="2"/>
      <c r="F5" s="1" t="s">
        <v>264</v>
      </c>
    </row>
    <row r="6" spans="1:8" x14ac:dyDescent="0.3">
      <c r="A6" s="1" t="s">
        <v>102</v>
      </c>
      <c r="B6" s="42"/>
      <c r="D6" s="1" t="s">
        <v>263</v>
      </c>
      <c r="E6" s="2"/>
      <c r="F6" s="1" t="s">
        <v>12</v>
      </c>
    </row>
    <row r="7" spans="1:8" x14ac:dyDescent="0.3">
      <c r="A7" s="1" t="s">
        <v>102</v>
      </c>
      <c r="B7" s="69"/>
    </row>
    <row r="8" spans="1:8" ht="69.599999999999994" customHeight="1" x14ac:dyDescent="0.3">
      <c r="A8" s="70" t="s">
        <v>82</v>
      </c>
      <c r="B8" s="44" t="str">
        <f>IF(B7="","","If we want to withdraw "&amp;DOLLAR(B2)&amp;" at the end of each year (these are cash flows in the future), for the next "&amp;B5&amp;" years, we would have to deposit "&amp;DOLLAR(B7)&amp;" in the bank today (Present Value) and the APR would have to be "&amp;TEXT(B3,"0.00%")&amp;" compounded "&amp;B4&amp;" time a year.")</f>
        <v/>
      </c>
      <c r="C8" s="59"/>
      <c r="D8" s="59"/>
      <c r="E8" s="59"/>
      <c r="F8" s="59"/>
      <c r="G8" s="59"/>
      <c r="H8" s="60"/>
    </row>
    <row r="10" spans="1:8" x14ac:dyDescent="0.3">
      <c r="A10" t="s">
        <v>103</v>
      </c>
    </row>
    <row r="11" spans="1:8" x14ac:dyDescent="0.3">
      <c r="A11" s="1" t="s">
        <v>25</v>
      </c>
      <c r="B11" s="1" t="s">
        <v>104</v>
      </c>
      <c r="C11" s="1"/>
    </row>
    <row r="12" spans="1:8" x14ac:dyDescent="0.3">
      <c r="A12" s="1">
        <v>0</v>
      </c>
      <c r="B12" s="1"/>
      <c r="C12" s="1"/>
      <c r="G12" s="1" t="s">
        <v>88</v>
      </c>
      <c r="H12" s="1" t="s">
        <v>88</v>
      </c>
    </row>
    <row r="13" spans="1:8" x14ac:dyDescent="0.3">
      <c r="A13" s="1">
        <v>1</v>
      </c>
      <c r="B13" s="1">
        <f>$B$2</f>
        <v>50</v>
      </c>
      <c r="C13" s="30"/>
      <c r="G13" s="3">
        <f>B13/((1+$B$3/$B$4)^A13)</f>
        <v>44.642857142857139</v>
      </c>
      <c r="H13" s="1">
        <f>B13/((1+$B$3/$B$4)^ROWS(B13:$B$13))</f>
        <v>44.642857142857139</v>
      </c>
    </row>
    <row r="14" spans="1:8" x14ac:dyDescent="0.3">
      <c r="A14" s="1">
        <v>2</v>
      </c>
      <c r="B14" s="1">
        <f>$B$2</f>
        <v>50</v>
      </c>
      <c r="C14" s="30"/>
      <c r="G14" s="3">
        <f>B14/((1+$B$3/$B$4)^A14)</f>
        <v>39.859693877551017</v>
      </c>
      <c r="H14" s="1">
        <f>B14/((1+$B$3/$B$4)^ROWS(B$13:$B14))</f>
        <v>39.859693877551017</v>
      </c>
    </row>
    <row r="15" spans="1:8" x14ac:dyDescent="0.3">
      <c r="A15" s="1">
        <v>3</v>
      </c>
      <c r="B15" s="1">
        <f>$B$2</f>
        <v>50</v>
      </c>
      <c r="C15" s="30"/>
      <c r="G15" s="3">
        <f>B15/((1+$B$3/$B$4)^A15)</f>
        <v>35.589012390670547</v>
      </c>
      <c r="H15" s="1">
        <f>B15/((1+$B$3/$B$4)^ROWS(B$13:$B15))</f>
        <v>35.589012390670547</v>
      </c>
    </row>
    <row r="16" spans="1:8" ht="15" thickBot="1" x14ac:dyDescent="0.35">
      <c r="C16" s="33"/>
      <c r="G16" s="1">
        <f>SUM(G13:G15)</f>
        <v>120.09156341107871</v>
      </c>
      <c r="H16" s="1">
        <f>SUM(H13:H15)</f>
        <v>120.09156341107871</v>
      </c>
    </row>
    <row r="17" ht="15" thickTop="1" x14ac:dyDescent="0.3"/>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
  <sheetViews>
    <sheetView workbookViewId="0">
      <selection activeCell="B6" sqref="B6"/>
    </sheetView>
  </sheetViews>
  <sheetFormatPr defaultRowHeight="14.4" x14ac:dyDescent="0.3"/>
  <cols>
    <col min="1" max="1" width="22.5546875" customWidth="1"/>
    <col min="257" max="257" width="22.5546875" customWidth="1"/>
    <col min="513" max="513" width="22.5546875" customWidth="1"/>
    <col min="769" max="769" width="22.5546875" customWidth="1"/>
    <col min="1025" max="1025" width="22.5546875" customWidth="1"/>
    <col min="1281" max="1281" width="22.5546875" customWidth="1"/>
    <col min="1537" max="1537" width="22.5546875" customWidth="1"/>
    <col min="1793" max="1793" width="22.5546875" customWidth="1"/>
    <col min="2049" max="2049" width="22.5546875" customWidth="1"/>
    <col min="2305" max="2305" width="22.5546875" customWidth="1"/>
    <col min="2561" max="2561" width="22.5546875" customWidth="1"/>
    <col min="2817" max="2817" width="22.5546875" customWidth="1"/>
    <col min="3073" max="3073" width="22.5546875" customWidth="1"/>
    <col min="3329" max="3329" width="22.5546875" customWidth="1"/>
    <col min="3585" max="3585" width="22.5546875" customWidth="1"/>
    <col min="3841" max="3841" width="22.5546875" customWidth="1"/>
    <col min="4097" max="4097" width="22.5546875" customWidth="1"/>
    <col min="4353" max="4353" width="22.5546875" customWidth="1"/>
    <col min="4609" max="4609" width="22.5546875" customWidth="1"/>
    <col min="4865" max="4865" width="22.5546875" customWidth="1"/>
    <col min="5121" max="5121" width="22.5546875" customWidth="1"/>
    <col min="5377" max="5377" width="22.5546875" customWidth="1"/>
    <col min="5633" max="5633" width="22.5546875" customWidth="1"/>
    <col min="5889" max="5889" width="22.5546875" customWidth="1"/>
    <col min="6145" max="6145" width="22.5546875" customWidth="1"/>
    <col min="6401" max="6401" width="22.5546875" customWidth="1"/>
    <col min="6657" max="6657" width="22.5546875" customWidth="1"/>
    <col min="6913" max="6913" width="22.5546875" customWidth="1"/>
    <col min="7169" max="7169" width="22.5546875" customWidth="1"/>
    <col min="7425" max="7425" width="22.5546875" customWidth="1"/>
    <col min="7681" max="7681" width="22.5546875" customWidth="1"/>
    <col min="7937" max="7937" width="22.5546875" customWidth="1"/>
    <col min="8193" max="8193" width="22.5546875" customWidth="1"/>
    <col min="8449" max="8449" width="22.5546875" customWidth="1"/>
    <col min="8705" max="8705" width="22.5546875" customWidth="1"/>
    <col min="8961" max="8961" width="22.5546875" customWidth="1"/>
    <col min="9217" max="9217" width="22.5546875" customWidth="1"/>
    <col min="9473" max="9473" width="22.5546875" customWidth="1"/>
    <col min="9729" max="9729" width="22.5546875" customWidth="1"/>
    <col min="9985" max="9985" width="22.5546875" customWidth="1"/>
    <col min="10241" max="10241" width="22.5546875" customWidth="1"/>
    <col min="10497" max="10497" width="22.5546875" customWidth="1"/>
    <col min="10753" max="10753" width="22.5546875" customWidth="1"/>
    <col min="11009" max="11009" width="22.5546875" customWidth="1"/>
    <col min="11265" max="11265" width="22.5546875" customWidth="1"/>
    <col min="11521" max="11521" width="22.5546875" customWidth="1"/>
    <col min="11777" max="11777" width="22.5546875" customWidth="1"/>
    <col min="12033" max="12033" width="22.5546875" customWidth="1"/>
    <col min="12289" max="12289" width="22.5546875" customWidth="1"/>
    <col min="12545" max="12545" width="22.5546875" customWidth="1"/>
    <col min="12801" max="12801" width="22.5546875" customWidth="1"/>
    <col min="13057" max="13057" width="22.5546875" customWidth="1"/>
    <col min="13313" max="13313" width="22.5546875" customWidth="1"/>
    <col min="13569" max="13569" width="22.5546875" customWidth="1"/>
    <col min="13825" max="13825" width="22.5546875" customWidth="1"/>
    <col min="14081" max="14081" width="22.5546875" customWidth="1"/>
    <col min="14337" max="14337" width="22.5546875" customWidth="1"/>
    <col min="14593" max="14593" width="22.5546875" customWidth="1"/>
    <col min="14849" max="14849" width="22.5546875" customWidth="1"/>
    <col min="15105" max="15105" width="22.5546875" customWidth="1"/>
    <col min="15361" max="15361" width="22.5546875" customWidth="1"/>
    <col min="15617" max="15617" width="22.5546875" customWidth="1"/>
    <col min="15873" max="15873" width="22.5546875" customWidth="1"/>
    <col min="16129" max="16129" width="22.5546875" customWidth="1"/>
  </cols>
  <sheetData>
    <row r="1" spans="1:8" ht="57.6" x14ac:dyDescent="0.3">
      <c r="A1" s="34" t="str">
        <f>"If we want to withdraw "&amp;DOLLAR(B2)&amp;" at the end of each year (these are cash flows in the future), for the next "&amp;B5&amp;" years, how much do we have to deposit in the bank today (Present Value) if the APR is "&amp;TEXT(B3,"0.00%")&amp;" compounded "&amp;B4&amp;" time a year?"</f>
        <v>If we want to withdraw $50.00 at the end of each year (these are cash flows in the future), for the next 3 years, how much do we have to deposit in the bank today (Present Value) if the APR is 12.00% compounded 1 time a year?</v>
      </c>
      <c r="B1" s="34"/>
      <c r="C1" s="144"/>
      <c r="D1" s="144"/>
      <c r="E1" s="141"/>
    </row>
    <row r="2" spans="1:8" x14ac:dyDescent="0.3">
      <c r="A2" s="1" t="s">
        <v>97</v>
      </c>
      <c r="B2" s="1">
        <v>50</v>
      </c>
    </row>
    <row r="3" spans="1:8" x14ac:dyDescent="0.3">
      <c r="A3" s="1" t="s">
        <v>101</v>
      </c>
      <c r="B3" s="1">
        <v>0.12</v>
      </c>
      <c r="C3" t="s">
        <v>251</v>
      </c>
    </row>
    <row r="4" spans="1:8" x14ac:dyDescent="0.3">
      <c r="A4" s="1" t="s">
        <v>39</v>
      </c>
      <c r="B4" s="1">
        <v>1</v>
      </c>
    </row>
    <row r="5" spans="1:8" x14ac:dyDescent="0.3">
      <c r="A5" s="1" t="s">
        <v>77</v>
      </c>
      <c r="B5" s="1">
        <v>3</v>
      </c>
      <c r="D5" s="1" t="s">
        <v>5</v>
      </c>
      <c r="E5" s="2">
        <f>B3/B4</f>
        <v>0.12</v>
      </c>
      <c r="F5" s="1" t="s">
        <v>264</v>
      </c>
    </row>
    <row r="6" spans="1:8" x14ac:dyDescent="0.3">
      <c r="A6" s="1" t="s">
        <v>102</v>
      </c>
      <c r="B6" s="42">
        <f>B2*(1-(1+E5)^-E6)/E5</f>
        <v>120.09156341107881</v>
      </c>
      <c r="D6" s="1" t="s">
        <v>263</v>
      </c>
      <c r="E6" s="2">
        <f>B5*B4</f>
        <v>3</v>
      </c>
      <c r="F6" s="1" t="s">
        <v>12</v>
      </c>
    </row>
    <row r="7" spans="1:8" x14ac:dyDescent="0.3">
      <c r="A7" s="1" t="s">
        <v>102</v>
      </c>
      <c r="B7" s="69">
        <f>PV(E5,E6,B2)</f>
        <v>-120.09156341107881</v>
      </c>
    </row>
    <row r="8" spans="1:8" ht="57.6" x14ac:dyDescent="0.3">
      <c r="A8" s="70" t="s">
        <v>82</v>
      </c>
      <c r="B8" s="44" t="str">
        <f>IF(B7="","","If we want to withdraw "&amp;DOLLAR(B2)&amp;" at the end of each year (these are cash flows in the future), for the next "&amp;B5&amp;" years, we would have to deposit "&amp;DOLLAR(B7)&amp;" in the bank today (Present Value) and the APR would have to be "&amp;TEXT(B3,"0.00%")&amp;" compounded "&amp;B4&amp;" time a year.")</f>
        <v>If we want to withdraw $50.00 at the end of each year (these are cash flows in the future), for the next 3 years, we would have to deposit ($120.09) in the bank today (Present Value) and the APR would have to be 12.00% compounded 1 time a year.</v>
      </c>
      <c r="C8" s="59"/>
      <c r="D8" s="59"/>
      <c r="E8" s="59"/>
      <c r="F8" s="59"/>
      <c r="G8" s="59"/>
      <c r="H8" s="60"/>
    </row>
    <row r="10" spans="1:8" x14ac:dyDescent="0.3">
      <c r="A10" t="s">
        <v>103</v>
      </c>
    </row>
    <row r="11" spans="1:8" x14ac:dyDescent="0.3">
      <c r="A11" s="1" t="s">
        <v>25</v>
      </c>
      <c r="B11" s="1" t="s">
        <v>104</v>
      </c>
      <c r="C11" s="1"/>
    </row>
    <row r="12" spans="1:8" x14ac:dyDescent="0.3">
      <c r="A12" s="1">
        <v>0</v>
      </c>
      <c r="B12" s="1"/>
      <c r="C12" s="1"/>
      <c r="G12" s="1" t="s">
        <v>88</v>
      </c>
      <c r="H12" s="1" t="s">
        <v>88</v>
      </c>
    </row>
    <row r="13" spans="1:8" x14ac:dyDescent="0.3">
      <c r="A13" s="1">
        <v>1</v>
      </c>
      <c r="B13" s="1">
        <f>$B$2</f>
        <v>50</v>
      </c>
      <c r="C13" s="30">
        <f>PV($B$3/$B$4,A13,,B13)</f>
        <v>-44.642857142857139</v>
      </c>
      <c r="G13" s="3">
        <f>B13/((1+$B$3/$B$4)^A13)</f>
        <v>44.642857142857139</v>
      </c>
      <c r="H13" s="1">
        <f>B13/((1+$B$3/$B$4)^ROWS(B13:$B$13))</f>
        <v>44.642857142857139</v>
      </c>
    </row>
    <row r="14" spans="1:8" x14ac:dyDescent="0.3">
      <c r="A14" s="1">
        <v>2</v>
      </c>
      <c r="B14" s="1">
        <f>$B$2</f>
        <v>50</v>
      </c>
      <c r="C14" s="30">
        <f t="shared" ref="C14:C15" si="0">PV($B$3/$B$4,A14,,B14)</f>
        <v>-39.859693877551017</v>
      </c>
      <c r="G14" s="3">
        <f>B14/((1+$B$3/$B$4)^A14)</f>
        <v>39.859693877551017</v>
      </c>
      <c r="H14" s="1">
        <f>B14/((1+$B$3/$B$4)^ROWS(B$13:$B14))</f>
        <v>39.859693877551017</v>
      </c>
    </row>
    <row r="15" spans="1:8" x14ac:dyDescent="0.3">
      <c r="A15" s="1">
        <v>3</v>
      </c>
      <c r="B15" s="1">
        <f>$B$2</f>
        <v>50</v>
      </c>
      <c r="C15" s="30">
        <f t="shared" si="0"/>
        <v>-35.589012390670547</v>
      </c>
      <c r="G15" s="3">
        <f>B15/((1+$B$3/$B$4)^A15)</f>
        <v>35.589012390670547</v>
      </c>
      <c r="H15" s="1">
        <f>B15/((1+$B$3/$B$4)^ROWS(B$13:$B15))</f>
        <v>35.589012390670547</v>
      </c>
    </row>
    <row r="16" spans="1:8" ht="15" thickBot="1" x14ac:dyDescent="0.35">
      <c r="C16" s="33">
        <f>SUM(C13:C15)</f>
        <v>-120.09156341107871</v>
      </c>
      <c r="G16" s="1">
        <f>SUM(G13:G15)</f>
        <v>120.09156341107871</v>
      </c>
      <c r="H16" s="1">
        <f>SUM(H13:H15)</f>
        <v>120.09156341107871</v>
      </c>
    </row>
    <row r="17" ht="15" thickTop="1" x14ac:dyDescent="0.3"/>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J2" sqref="J2"/>
    </sheetView>
  </sheetViews>
  <sheetFormatPr defaultRowHeight="14.4" x14ac:dyDescent="0.3"/>
  <sheetData>
    <row r="1" spans="1:10" x14ac:dyDescent="0.3">
      <c r="A1" s="1" t="s">
        <v>14</v>
      </c>
      <c r="B1" s="1" t="s">
        <v>15</v>
      </c>
      <c r="C1" s="1" t="s">
        <v>16</v>
      </c>
      <c r="D1" s="1" t="s">
        <v>17</v>
      </c>
      <c r="E1" s="1" t="s">
        <v>18</v>
      </c>
      <c r="F1" s="1" t="s">
        <v>19</v>
      </c>
      <c r="G1" s="1" t="s">
        <v>20</v>
      </c>
      <c r="H1" s="1" t="s">
        <v>21</v>
      </c>
      <c r="I1" s="1"/>
      <c r="J1" s="1" t="s">
        <v>293</v>
      </c>
    </row>
    <row r="2" spans="1:10" x14ac:dyDescent="0.3">
      <c r="A2" s="1"/>
      <c r="B2" s="1">
        <v>3000</v>
      </c>
      <c r="C2" s="1">
        <v>3000</v>
      </c>
      <c r="D2" s="1">
        <v>3000</v>
      </c>
      <c r="E2" s="1">
        <v>3000</v>
      </c>
      <c r="F2" s="1">
        <v>3000</v>
      </c>
      <c r="G2" s="1">
        <v>3000</v>
      </c>
      <c r="H2" s="1">
        <v>3000</v>
      </c>
      <c r="I2" s="1" t="s">
        <v>291</v>
      </c>
      <c r="J2" s="1">
        <v>3000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22"/>
  <sheetViews>
    <sheetView zoomScale="115" zoomScaleNormal="115" workbookViewId="0">
      <selection activeCell="B6" sqref="B6"/>
    </sheetView>
  </sheetViews>
  <sheetFormatPr defaultRowHeight="14.4" x14ac:dyDescent="0.3"/>
  <cols>
    <col min="1" max="1" width="24.44140625" customWidth="1"/>
    <col min="2" max="2" width="16.33203125" bestFit="1" customWidth="1"/>
    <col min="3" max="5" width="17.33203125" customWidth="1"/>
    <col min="257" max="257" width="24.44140625" customWidth="1"/>
    <col min="258" max="258" width="16.33203125" bestFit="1" customWidth="1"/>
    <col min="259" max="261" width="17.33203125" customWidth="1"/>
    <col min="513" max="513" width="24.44140625" customWidth="1"/>
    <col min="514" max="514" width="16.33203125" bestFit="1" customWidth="1"/>
    <col min="515" max="517" width="17.33203125" customWidth="1"/>
    <col min="769" max="769" width="24.44140625" customWidth="1"/>
    <col min="770" max="770" width="16.33203125" bestFit="1" customWidth="1"/>
    <col min="771" max="773" width="17.33203125" customWidth="1"/>
    <col min="1025" max="1025" width="24.44140625" customWidth="1"/>
    <col min="1026" max="1026" width="16.33203125" bestFit="1" customWidth="1"/>
    <col min="1027" max="1029" width="17.33203125" customWidth="1"/>
    <col min="1281" max="1281" width="24.44140625" customWidth="1"/>
    <col min="1282" max="1282" width="16.33203125" bestFit="1" customWidth="1"/>
    <col min="1283" max="1285" width="17.33203125" customWidth="1"/>
    <col min="1537" max="1537" width="24.44140625" customWidth="1"/>
    <col min="1538" max="1538" width="16.33203125" bestFit="1" customWidth="1"/>
    <col min="1539" max="1541" width="17.33203125" customWidth="1"/>
    <col min="1793" max="1793" width="24.44140625" customWidth="1"/>
    <col min="1794" max="1794" width="16.33203125" bestFit="1" customWidth="1"/>
    <col min="1795" max="1797" width="17.33203125" customWidth="1"/>
    <col min="2049" max="2049" width="24.44140625" customWidth="1"/>
    <col min="2050" max="2050" width="16.33203125" bestFit="1" customWidth="1"/>
    <col min="2051" max="2053" width="17.33203125" customWidth="1"/>
    <col min="2305" max="2305" width="24.44140625" customWidth="1"/>
    <col min="2306" max="2306" width="16.33203125" bestFit="1" customWidth="1"/>
    <col min="2307" max="2309" width="17.33203125" customWidth="1"/>
    <col min="2561" max="2561" width="24.44140625" customWidth="1"/>
    <col min="2562" max="2562" width="16.33203125" bestFit="1" customWidth="1"/>
    <col min="2563" max="2565" width="17.33203125" customWidth="1"/>
    <col min="2817" max="2817" width="24.44140625" customWidth="1"/>
    <col min="2818" max="2818" width="16.33203125" bestFit="1" customWidth="1"/>
    <col min="2819" max="2821" width="17.33203125" customWidth="1"/>
    <col min="3073" max="3073" width="24.44140625" customWidth="1"/>
    <col min="3074" max="3074" width="16.33203125" bestFit="1" customWidth="1"/>
    <col min="3075" max="3077" width="17.33203125" customWidth="1"/>
    <col min="3329" max="3329" width="24.44140625" customWidth="1"/>
    <col min="3330" max="3330" width="16.33203125" bestFit="1" customWidth="1"/>
    <col min="3331" max="3333" width="17.33203125" customWidth="1"/>
    <col min="3585" max="3585" width="24.44140625" customWidth="1"/>
    <col min="3586" max="3586" width="16.33203125" bestFit="1" customWidth="1"/>
    <col min="3587" max="3589" width="17.33203125" customWidth="1"/>
    <col min="3841" max="3841" width="24.44140625" customWidth="1"/>
    <col min="3842" max="3842" width="16.33203125" bestFit="1" customWidth="1"/>
    <col min="3843" max="3845" width="17.33203125" customWidth="1"/>
    <col min="4097" max="4097" width="24.44140625" customWidth="1"/>
    <col min="4098" max="4098" width="16.33203125" bestFit="1" customWidth="1"/>
    <col min="4099" max="4101" width="17.33203125" customWidth="1"/>
    <col min="4353" max="4353" width="24.44140625" customWidth="1"/>
    <col min="4354" max="4354" width="16.33203125" bestFit="1" customWidth="1"/>
    <col min="4355" max="4357" width="17.33203125" customWidth="1"/>
    <col min="4609" max="4609" width="24.44140625" customWidth="1"/>
    <col min="4610" max="4610" width="16.33203125" bestFit="1" customWidth="1"/>
    <col min="4611" max="4613" width="17.33203125" customWidth="1"/>
    <col min="4865" max="4865" width="24.44140625" customWidth="1"/>
    <col min="4866" max="4866" width="16.33203125" bestFit="1" customWidth="1"/>
    <col min="4867" max="4869" width="17.33203125" customWidth="1"/>
    <col min="5121" max="5121" width="24.44140625" customWidth="1"/>
    <col min="5122" max="5122" width="16.33203125" bestFit="1" customWidth="1"/>
    <col min="5123" max="5125" width="17.33203125" customWidth="1"/>
    <col min="5377" max="5377" width="24.44140625" customWidth="1"/>
    <col min="5378" max="5378" width="16.33203125" bestFit="1" customWidth="1"/>
    <col min="5379" max="5381" width="17.33203125" customWidth="1"/>
    <col min="5633" max="5633" width="24.44140625" customWidth="1"/>
    <col min="5634" max="5634" width="16.33203125" bestFit="1" customWidth="1"/>
    <col min="5635" max="5637" width="17.33203125" customWidth="1"/>
    <col min="5889" max="5889" width="24.44140625" customWidth="1"/>
    <col min="5890" max="5890" width="16.33203125" bestFit="1" customWidth="1"/>
    <col min="5891" max="5893" width="17.33203125" customWidth="1"/>
    <col min="6145" max="6145" width="24.44140625" customWidth="1"/>
    <col min="6146" max="6146" width="16.33203125" bestFit="1" customWidth="1"/>
    <col min="6147" max="6149" width="17.33203125" customWidth="1"/>
    <col min="6401" max="6401" width="24.44140625" customWidth="1"/>
    <col min="6402" max="6402" width="16.33203125" bestFit="1" customWidth="1"/>
    <col min="6403" max="6405" width="17.33203125" customWidth="1"/>
    <col min="6657" max="6657" width="24.44140625" customWidth="1"/>
    <col min="6658" max="6658" width="16.33203125" bestFit="1" customWidth="1"/>
    <col min="6659" max="6661" width="17.33203125" customWidth="1"/>
    <col min="6913" max="6913" width="24.44140625" customWidth="1"/>
    <col min="6914" max="6914" width="16.33203125" bestFit="1" customWidth="1"/>
    <col min="6915" max="6917" width="17.33203125" customWidth="1"/>
    <col min="7169" max="7169" width="24.44140625" customWidth="1"/>
    <col min="7170" max="7170" width="16.33203125" bestFit="1" customWidth="1"/>
    <col min="7171" max="7173" width="17.33203125" customWidth="1"/>
    <col min="7425" max="7425" width="24.44140625" customWidth="1"/>
    <col min="7426" max="7426" width="16.33203125" bestFit="1" customWidth="1"/>
    <col min="7427" max="7429" width="17.33203125" customWidth="1"/>
    <col min="7681" max="7681" width="24.44140625" customWidth="1"/>
    <col min="7682" max="7682" width="16.33203125" bestFit="1" customWidth="1"/>
    <col min="7683" max="7685" width="17.33203125" customWidth="1"/>
    <col min="7937" max="7937" width="24.44140625" customWidth="1"/>
    <col min="7938" max="7938" width="16.33203125" bestFit="1" customWidth="1"/>
    <col min="7939" max="7941" width="17.33203125" customWidth="1"/>
    <col min="8193" max="8193" width="24.44140625" customWidth="1"/>
    <col min="8194" max="8194" width="16.33203125" bestFit="1" customWidth="1"/>
    <col min="8195" max="8197" width="17.33203125" customWidth="1"/>
    <col min="8449" max="8449" width="24.44140625" customWidth="1"/>
    <col min="8450" max="8450" width="16.33203125" bestFit="1" customWidth="1"/>
    <col min="8451" max="8453" width="17.33203125" customWidth="1"/>
    <col min="8705" max="8705" width="24.44140625" customWidth="1"/>
    <col min="8706" max="8706" width="16.33203125" bestFit="1" customWidth="1"/>
    <col min="8707" max="8709" width="17.33203125" customWidth="1"/>
    <col min="8961" max="8961" width="24.44140625" customWidth="1"/>
    <col min="8962" max="8962" width="16.33203125" bestFit="1" customWidth="1"/>
    <col min="8963" max="8965" width="17.33203125" customWidth="1"/>
    <col min="9217" max="9217" width="24.44140625" customWidth="1"/>
    <col min="9218" max="9218" width="16.33203125" bestFit="1" customWidth="1"/>
    <col min="9219" max="9221" width="17.33203125" customWidth="1"/>
    <col min="9473" max="9473" width="24.44140625" customWidth="1"/>
    <col min="9474" max="9474" width="16.33203125" bestFit="1" customWidth="1"/>
    <col min="9475" max="9477" width="17.33203125" customWidth="1"/>
    <col min="9729" max="9729" width="24.44140625" customWidth="1"/>
    <col min="9730" max="9730" width="16.33203125" bestFit="1" customWidth="1"/>
    <col min="9731" max="9733" width="17.33203125" customWidth="1"/>
    <col min="9985" max="9985" width="24.44140625" customWidth="1"/>
    <col min="9986" max="9986" width="16.33203125" bestFit="1" customWidth="1"/>
    <col min="9987" max="9989" width="17.33203125" customWidth="1"/>
    <col min="10241" max="10241" width="24.44140625" customWidth="1"/>
    <col min="10242" max="10242" width="16.33203125" bestFit="1" customWidth="1"/>
    <col min="10243" max="10245" width="17.33203125" customWidth="1"/>
    <col min="10497" max="10497" width="24.44140625" customWidth="1"/>
    <col min="10498" max="10498" width="16.33203125" bestFit="1" customWidth="1"/>
    <col min="10499" max="10501" width="17.33203125" customWidth="1"/>
    <col min="10753" max="10753" width="24.44140625" customWidth="1"/>
    <col min="10754" max="10754" width="16.33203125" bestFit="1" customWidth="1"/>
    <col min="10755" max="10757" width="17.33203125" customWidth="1"/>
    <col min="11009" max="11009" width="24.44140625" customWidth="1"/>
    <col min="11010" max="11010" width="16.33203125" bestFit="1" customWidth="1"/>
    <col min="11011" max="11013" width="17.33203125" customWidth="1"/>
    <col min="11265" max="11265" width="24.44140625" customWidth="1"/>
    <col min="11266" max="11266" width="16.33203125" bestFit="1" customWidth="1"/>
    <col min="11267" max="11269" width="17.33203125" customWidth="1"/>
    <col min="11521" max="11521" width="24.44140625" customWidth="1"/>
    <col min="11522" max="11522" width="16.33203125" bestFit="1" customWidth="1"/>
    <col min="11523" max="11525" width="17.33203125" customWidth="1"/>
    <col min="11777" max="11777" width="24.44140625" customWidth="1"/>
    <col min="11778" max="11778" width="16.33203125" bestFit="1" customWidth="1"/>
    <col min="11779" max="11781" width="17.33203125" customWidth="1"/>
    <col min="12033" max="12033" width="24.44140625" customWidth="1"/>
    <col min="12034" max="12034" width="16.33203125" bestFit="1" customWidth="1"/>
    <col min="12035" max="12037" width="17.33203125" customWidth="1"/>
    <col min="12289" max="12289" width="24.44140625" customWidth="1"/>
    <col min="12290" max="12290" width="16.33203125" bestFit="1" customWidth="1"/>
    <col min="12291" max="12293" width="17.33203125" customWidth="1"/>
    <col min="12545" max="12545" width="24.44140625" customWidth="1"/>
    <col min="12546" max="12546" width="16.33203125" bestFit="1" customWidth="1"/>
    <col min="12547" max="12549" width="17.33203125" customWidth="1"/>
    <col min="12801" max="12801" width="24.44140625" customWidth="1"/>
    <col min="12802" max="12802" width="16.33203125" bestFit="1" customWidth="1"/>
    <col min="12803" max="12805" width="17.33203125" customWidth="1"/>
    <col min="13057" max="13057" width="24.44140625" customWidth="1"/>
    <col min="13058" max="13058" width="16.33203125" bestFit="1" customWidth="1"/>
    <col min="13059" max="13061" width="17.33203125" customWidth="1"/>
    <col min="13313" max="13313" width="24.44140625" customWidth="1"/>
    <col min="13314" max="13314" width="16.33203125" bestFit="1" customWidth="1"/>
    <col min="13315" max="13317" width="17.33203125" customWidth="1"/>
    <col min="13569" max="13569" width="24.44140625" customWidth="1"/>
    <col min="13570" max="13570" width="16.33203125" bestFit="1" customWidth="1"/>
    <col min="13571" max="13573" width="17.33203125" customWidth="1"/>
    <col min="13825" max="13825" width="24.44140625" customWidth="1"/>
    <col min="13826" max="13826" width="16.33203125" bestFit="1" customWidth="1"/>
    <col min="13827" max="13829" width="17.33203125" customWidth="1"/>
    <col min="14081" max="14081" width="24.44140625" customWidth="1"/>
    <col min="14082" max="14082" width="16.33203125" bestFit="1" customWidth="1"/>
    <col min="14083" max="14085" width="17.33203125" customWidth="1"/>
    <col min="14337" max="14337" width="24.44140625" customWidth="1"/>
    <col min="14338" max="14338" width="16.33203125" bestFit="1" customWidth="1"/>
    <col min="14339" max="14341" width="17.33203125" customWidth="1"/>
    <col min="14593" max="14593" width="24.44140625" customWidth="1"/>
    <col min="14594" max="14594" width="16.33203125" bestFit="1" customWidth="1"/>
    <col min="14595" max="14597" width="17.33203125" customWidth="1"/>
    <col min="14849" max="14849" width="24.44140625" customWidth="1"/>
    <col min="14850" max="14850" width="16.33203125" bestFit="1" customWidth="1"/>
    <col min="14851" max="14853" width="17.33203125" customWidth="1"/>
    <col min="15105" max="15105" width="24.44140625" customWidth="1"/>
    <col min="15106" max="15106" width="16.33203125" bestFit="1" customWidth="1"/>
    <col min="15107" max="15109" width="17.33203125" customWidth="1"/>
    <col min="15361" max="15361" width="24.44140625" customWidth="1"/>
    <col min="15362" max="15362" width="16.33203125" bestFit="1" customWidth="1"/>
    <col min="15363" max="15365" width="17.33203125" customWidth="1"/>
    <col min="15617" max="15617" width="24.44140625" customWidth="1"/>
    <col min="15618" max="15618" width="16.33203125" bestFit="1" customWidth="1"/>
    <col min="15619" max="15621" width="17.33203125" customWidth="1"/>
    <col min="15873" max="15873" width="24.44140625" customWidth="1"/>
    <col min="15874" max="15874" width="16.33203125" bestFit="1" customWidth="1"/>
    <col min="15875" max="15877" width="17.33203125" customWidth="1"/>
    <col min="16129" max="16129" width="24.44140625" customWidth="1"/>
    <col min="16130" max="16130" width="16.33203125" bestFit="1" customWidth="1"/>
    <col min="16131" max="16133" width="17.33203125" customWidth="1"/>
  </cols>
  <sheetData>
    <row r="1" spans="1:5" ht="28.8" x14ac:dyDescent="0.3">
      <c r="A1" s="34" t="str">
        <f>"Ex 28: How much do you have to have in the bank when you retire if you want to withdraw "&amp;DOLLAR(-B2)&amp;" at the end of each period for the next "&amp;B5&amp;" years and you can earn "&amp;TEXT(B3,"0.00%")&amp;" compounded "&amp;B4&amp;" times a year?"</f>
        <v>Ex 28: How much do you have to have in the bank when you retire if you want to withdraw ($3,000.00) at the end of each period for the next 35 years and you can earn 6.00% compounded 12 times a year?</v>
      </c>
      <c r="B1" s="34"/>
      <c r="C1" s="144"/>
      <c r="D1" s="144"/>
      <c r="E1" s="141"/>
    </row>
    <row r="2" spans="1:5" x14ac:dyDescent="0.3">
      <c r="A2" s="1" t="s">
        <v>97</v>
      </c>
      <c r="B2" s="1">
        <v>3000</v>
      </c>
    </row>
    <row r="3" spans="1:5" x14ac:dyDescent="0.3">
      <c r="A3" s="1" t="s">
        <v>105</v>
      </c>
      <c r="B3" s="1">
        <v>0.06</v>
      </c>
    </row>
    <row r="4" spans="1:5" x14ac:dyDescent="0.3">
      <c r="A4" s="1" t="s">
        <v>39</v>
      </c>
      <c r="B4" s="1">
        <v>12</v>
      </c>
    </row>
    <row r="5" spans="1:5" x14ac:dyDescent="0.3">
      <c r="A5" s="1" t="s">
        <v>77</v>
      </c>
      <c r="B5" s="1">
        <v>35</v>
      </c>
    </row>
    <row r="6" spans="1:5" x14ac:dyDescent="0.3">
      <c r="A6" s="1" t="s">
        <v>102</v>
      </c>
      <c r="B6" s="72"/>
    </row>
    <row r="7" spans="1:5" x14ac:dyDescent="0.3">
      <c r="A7" s="1" t="s">
        <v>102</v>
      </c>
      <c r="B7" s="74"/>
    </row>
    <row r="8" spans="1:5" ht="43.2" x14ac:dyDescent="0.3">
      <c r="A8" s="70" t="s">
        <v>82</v>
      </c>
      <c r="B8" s="58" t="str">
        <f>IF(B7="","","You have to have "&amp;DOLLAR(-B7)&amp;" in the bank when you retire if you want to withdraw "&amp;DOLLAR(-B2)&amp;" at the end of each period for the next "&amp;B5&amp;" years and you can earn "&amp;TEXT(B3,"0.00%")&amp;" compounded "&amp;B4&amp;" times a year.")</f>
        <v/>
      </c>
      <c r="C8" s="59"/>
      <c r="D8" s="59"/>
      <c r="E8" s="60"/>
    </row>
    <row r="10" spans="1:5" ht="28.8" x14ac:dyDescent="0.3">
      <c r="A10" s="34" t="str">
        <f>"Ex 29: If you need "&amp;DOLLAR(-PV(B3/B4,B5*B4,B2))&amp;" when you retire, how much do you need to invest each period if you are "&amp;B14&amp;" and you plan to retire when you are "&amp;B15&amp;" (i = "&amp;TEXT(B12,"0.00%")&amp;", n = "&amp;B13&amp;")."</f>
        <v>Ex 29: If you need $526,140.68 when you retire, how much do you need to invest each period if you are 28 and you plan to retire when you are 70 (i = 10.00%, n = 12).</v>
      </c>
      <c r="B10" s="34"/>
      <c r="C10" s="144"/>
      <c r="D10" s="144"/>
      <c r="E10" s="141"/>
    </row>
    <row r="11" spans="1:5" x14ac:dyDescent="0.3">
      <c r="A11" s="1" t="s">
        <v>95</v>
      </c>
      <c r="B11" s="9">
        <f>-B7</f>
        <v>0</v>
      </c>
    </row>
    <row r="12" spans="1:5" x14ac:dyDescent="0.3">
      <c r="A12" s="1" t="s">
        <v>101</v>
      </c>
      <c r="B12" s="1">
        <v>0.1</v>
      </c>
    </row>
    <row r="13" spans="1:5" x14ac:dyDescent="0.3">
      <c r="A13" s="1" t="s">
        <v>39</v>
      </c>
      <c r="B13" s="1">
        <v>12</v>
      </c>
    </row>
    <row r="14" spans="1:5" x14ac:dyDescent="0.3">
      <c r="A14" s="1" t="s">
        <v>106</v>
      </c>
      <c r="B14" s="1">
        <v>28</v>
      </c>
    </row>
    <row r="15" spans="1:5" x14ac:dyDescent="0.3">
      <c r="A15" s="1" t="s">
        <v>107</v>
      </c>
      <c r="B15" s="1">
        <v>70</v>
      </c>
    </row>
    <row r="16" spans="1:5" x14ac:dyDescent="0.3">
      <c r="A16" s="1" t="s">
        <v>77</v>
      </c>
      <c r="B16" s="42"/>
    </row>
    <row r="17" spans="1:5" x14ac:dyDescent="0.3">
      <c r="A17" s="1" t="s">
        <v>97</v>
      </c>
      <c r="B17" s="71"/>
    </row>
    <row r="18" spans="1:5" x14ac:dyDescent="0.3">
      <c r="A18" s="1" t="s">
        <v>97</v>
      </c>
      <c r="B18" s="72"/>
    </row>
    <row r="19" spans="1:5" x14ac:dyDescent="0.3">
      <c r="A19" s="1" t="s">
        <v>108</v>
      </c>
      <c r="B19" s="71"/>
      <c r="D19" s="73"/>
    </row>
    <row r="20" spans="1:5" x14ac:dyDescent="0.3">
      <c r="A20" s="1" t="s">
        <v>109</v>
      </c>
      <c r="B20" s="71"/>
      <c r="D20" s="73"/>
    </row>
    <row r="21" spans="1:5" x14ac:dyDescent="0.3">
      <c r="A21" s="1" t="s">
        <v>110</v>
      </c>
      <c r="B21" s="71"/>
      <c r="D21" s="73"/>
    </row>
    <row r="22" spans="1:5" x14ac:dyDescent="0.3">
      <c r="A22" s="1" t="s">
        <v>82</v>
      </c>
      <c r="B22" s="58" t="str">
        <f>IF(B18="","","If we invest "&amp;DOLLAR(-B18)&amp;" for "&amp;B16*B13&amp;" months at an APR of "&amp;TEXT(B12,"0.00%")&amp;" compounded "&amp;B13&amp;" times a year, we will be able to then withdraw "&amp;DOLLAR(B2)&amp;" for "&amp;B4*B5&amp;" months for a total net gain of "&amp;DOLLAR(B21)&amp;".")</f>
        <v/>
      </c>
      <c r="C22" s="59"/>
      <c r="D22" s="59"/>
      <c r="E22" s="60"/>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2"/>
  <sheetViews>
    <sheetView workbookViewId="0">
      <selection activeCell="B6" sqref="B6"/>
    </sheetView>
  </sheetViews>
  <sheetFormatPr defaultRowHeight="14.4" x14ac:dyDescent="0.3"/>
  <cols>
    <col min="1" max="1" width="24.44140625" customWidth="1"/>
    <col min="2" max="2" width="16.33203125" bestFit="1" customWidth="1"/>
    <col min="3" max="5" width="17.33203125" customWidth="1"/>
    <col min="257" max="257" width="24.44140625" customWidth="1"/>
    <col min="258" max="258" width="16.33203125" bestFit="1" customWidth="1"/>
    <col min="259" max="261" width="17.33203125" customWidth="1"/>
    <col min="513" max="513" width="24.44140625" customWidth="1"/>
    <col min="514" max="514" width="16.33203125" bestFit="1" customWidth="1"/>
    <col min="515" max="517" width="17.33203125" customWidth="1"/>
    <col min="769" max="769" width="24.44140625" customWidth="1"/>
    <col min="770" max="770" width="16.33203125" bestFit="1" customWidth="1"/>
    <col min="771" max="773" width="17.33203125" customWidth="1"/>
    <col min="1025" max="1025" width="24.44140625" customWidth="1"/>
    <col min="1026" max="1026" width="16.33203125" bestFit="1" customWidth="1"/>
    <col min="1027" max="1029" width="17.33203125" customWidth="1"/>
    <col min="1281" max="1281" width="24.44140625" customWidth="1"/>
    <col min="1282" max="1282" width="16.33203125" bestFit="1" customWidth="1"/>
    <col min="1283" max="1285" width="17.33203125" customWidth="1"/>
    <col min="1537" max="1537" width="24.44140625" customWidth="1"/>
    <col min="1538" max="1538" width="16.33203125" bestFit="1" customWidth="1"/>
    <col min="1539" max="1541" width="17.33203125" customWidth="1"/>
    <col min="1793" max="1793" width="24.44140625" customWidth="1"/>
    <col min="1794" max="1794" width="16.33203125" bestFit="1" customWidth="1"/>
    <col min="1795" max="1797" width="17.33203125" customWidth="1"/>
    <col min="2049" max="2049" width="24.44140625" customWidth="1"/>
    <col min="2050" max="2050" width="16.33203125" bestFit="1" customWidth="1"/>
    <col min="2051" max="2053" width="17.33203125" customWidth="1"/>
    <col min="2305" max="2305" width="24.44140625" customWidth="1"/>
    <col min="2306" max="2306" width="16.33203125" bestFit="1" customWidth="1"/>
    <col min="2307" max="2309" width="17.33203125" customWidth="1"/>
    <col min="2561" max="2561" width="24.44140625" customWidth="1"/>
    <col min="2562" max="2562" width="16.33203125" bestFit="1" customWidth="1"/>
    <col min="2563" max="2565" width="17.33203125" customWidth="1"/>
    <col min="2817" max="2817" width="24.44140625" customWidth="1"/>
    <col min="2818" max="2818" width="16.33203125" bestFit="1" customWidth="1"/>
    <col min="2819" max="2821" width="17.33203125" customWidth="1"/>
    <col min="3073" max="3073" width="24.44140625" customWidth="1"/>
    <col min="3074" max="3074" width="16.33203125" bestFit="1" customWidth="1"/>
    <col min="3075" max="3077" width="17.33203125" customWidth="1"/>
    <col min="3329" max="3329" width="24.44140625" customWidth="1"/>
    <col min="3330" max="3330" width="16.33203125" bestFit="1" customWidth="1"/>
    <col min="3331" max="3333" width="17.33203125" customWidth="1"/>
    <col min="3585" max="3585" width="24.44140625" customWidth="1"/>
    <col min="3586" max="3586" width="16.33203125" bestFit="1" customWidth="1"/>
    <col min="3587" max="3589" width="17.33203125" customWidth="1"/>
    <col min="3841" max="3841" width="24.44140625" customWidth="1"/>
    <col min="3842" max="3842" width="16.33203125" bestFit="1" customWidth="1"/>
    <col min="3843" max="3845" width="17.33203125" customWidth="1"/>
    <col min="4097" max="4097" width="24.44140625" customWidth="1"/>
    <col min="4098" max="4098" width="16.33203125" bestFit="1" customWidth="1"/>
    <col min="4099" max="4101" width="17.33203125" customWidth="1"/>
    <col min="4353" max="4353" width="24.44140625" customWidth="1"/>
    <col min="4354" max="4354" width="16.33203125" bestFit="1" customWidth="1"/>
    <col min="4355" max="4357" width="17.33203125" customWidth="1"/>
    <col min="4609" max="4609" width="24.44140625" customWidth="1"/>
    <col min="4610" max="4610" width="16.33203125" bestFit="1" customWidth="1"/>
    <col min="4611" max="4613" width="17.33203125" customWidth="1"/>
    <col min="4865" max="4865" width="24.44140625" customWidth="1"/>
    <col min="4866" max="4866" width="16.33203125" bestFit="1" customWidth="1"/>
    <col min="4867" max="4869" width="17.33203125" customWidth="1"/>
    <col min="5121" max="5121" width="24.44140625" customWidth="1"/>
    <col min="5122" max="5122" width="16.33203125" bestFit="1" customWidth="1"/>
    <col min="5123" max="5125" width="17.33203125" customWidth="1"/>
    <col min="5377" max="5377" width="24.44140625" customWidth="1"/>
    <col min="5378" max="5378" width="16.33203125" bestFit="1" customWidth="1"/>
    <col min="5379" max="5381" width="17.33203125" customWidth="1"/>
    <col min="5633" max="5633" width="24.44140625" customWidth="1"/>
    <col min="5634" max="5634" width="16.33203125" bestFit="1" customWidth="1"/>
    <col min="5635" max="5637" width="17.33203125" customWidth="1"/>
    <col min="5889" max="5889" width="24.44140625" customWidth="1"/>
    <col min="5890" max="5890" width="16.33203125" bestFit="1" customWidth="1"/>
    <col min="5891" max="5893" width="17.33203125" customWidth="1"/>
    <col min="6145" max="6145" width="24.44140625" customWidth="1"/>
    <col min="6146" max="6146" width="16.33203125" bestFit="1" customWidth="1"/>
    <col min="6147" max="6149" width="17.33203125" customWidth="1"/>
    <col min="6401" max="6401" width="24.44140625" customWidth="1"/>
    <col min="6402" max="6402" width="16.33203125" bestFit="1" customWidth="1"/>
    <col min="6403" max="6405" width="17.33203125" customWidth="1"/>
    <col min="6657" max="6657" width="24.44140625" customWidth="1"/>
    <col min="6658" max="6658" width="16.33203125" bestFit="1" customWidth="1"/>
    <col min="6659" max="6661" width="17.33203125" customWidth="1"/>
    <col min="6913" max="6913" width="24.44140625" customWidth="1"/>
    <col min="6914" max="6914" width="16.33203125" bestFit="1" customWidth="1"/>
    <col min="6915" max="6917" width="17.33203125" customWidth="1"/>
    <col min="7169" max="7169" width="24.44140625" customWidth="1"/>
    <col min="7170" max="7170" width="16.33203125" bestFit="1" customWidth="1"/>
    <col min="7171" max="7173" width="17.33203125" customWidth="1"/>
    <col min="7425" max="7425" width="24.44140625" customWidth="1"/>
    <col min="7426" max="7426" width="16.33203125" bestFit="1" customWidth="1"/>
    <col min="7427" max="7429" width="17.33203125" customWidth="1"/>
    <col min="7681" max="7681" width="24.44140625" customWidth="1"/>
    <col min="7682" max="7682" width="16.33203125" bestFit="1" customWidth="1"/>
    <col min="7683" max="7685" width="17.33203125" customWidth="1"/>
    <col min="7937" max="7937" width="24.44140625" customWidth="1"/>
    <col min="7938" max="7938" width="16.33203125" bestFit="1" customWidth="1"/>
    <col min="7939" max="7941" width="17.33203125" customWidth="1"/>
    <col min="8193" max="8193" width="24.44140625" customWidth="1"/>
    <col min="8194" max="8194" width="16.33203125" bestFit="1" customWidth="1"/>
    <col min="8195" max="8197" width="17.33203125" customWidth="1"/>
    <col min="8449" max="8449" width="24.44140625" customWidth="1"/>
    <col min="8450" max="8450" width="16.33203125" bestFit="1" customWidth="1"/>
    <col min="8451" max="8453" width="17.33203125" customWidth="1"/>
    <col min="8705" max="8705" width="24.44140625" customWidth="1"/>
    <col min="8706" max="8706" width="16.33203125" bestFit="1" customWidth="1"/>
    <col min="8707" max="8709" width="17.33203125" customWidth="1"/>
    <col min="8961" max="8961" width="24.44140625" customWidth="1"/>
    <col min="8962" max="8962" width="16.33203125" bestFit="1" customWidth="1"/>
    <col min="8963" max="8965" width="17.33203125" customWidth="1"/>
    <col min="9217" max="9217" width="24.44140625" customWidth="1"/>
    <col min="9218" max="9218" width="16.33203125" bestFit="1" customWidth="1"/>
    <col min="9219" max="9221" width="17.33203125" customWidth="1"/>
    <col min="9473" max="9473" width="24.44140625" customWidth="1"/>
    <col min="9474" max="9474" width="16.33203125" bestFit="1" customWidth="1"/>
    <col min="9475" max="9477" width="17.33203125" customWidth="1"/>
    <col min="9729" max="9729" width="24.44140625" customWidth="1"/>
    <col min="9730" max="9730" width="16.33203125" bestFit="1" customWidth="1"/>
    <col min="9731" max="9733" width="17.33203125" customWidth="1"/>
    <col min="9985" max="9985" width="24.44140625" customWidth="1"/>
    <col min="9986" max="9986" width="16.33203125" bestFit="1" customWidth="1"/>
    <col min="9987" max="9989" width="17.33203125" customWidth="1"/>
    <col min="10241" max="10241" width="24.44140625" customWidth="1"/>
    <col min="10242" max="10242" width="16.33203125" bestFit="1" customWidth="1"/>
    <col min="10243" max="10245" width="17.33203125" customWidth="1"/>
    <col min="10497" max="10497" width="24.44140625" customWidth="1"/>
    <col min="10498" max="10498" width="16.33203125" bestFit="1" customWidth="1"/>
    <col min="10499" max="10501" width="17.33203125" customWidth="1"/>
    <col min="10753" max="10753" width="24.44140625" customWidth="1"/>
    <col min="10754" max="10754" width="16.33203125" bestFit="1" customWidth="1"/>
    <col min="10755" max="10757" width="17.33203125" customWidth="1"/>
    <col min="11009" max="11009" width="24.44140625" customWidth="1"/>
    <col min="11010" max="11010" width="16.33203125" bestFit="1" customWidth="1"/>
    <col min="11011" max="11013" width="17.33203125" customWidth="1"/>
    <col min="11265" max="11265" width="24.44140625" customWidth="1"/>
    <col min="11266" max="11266" width="16.33203125" bestFit="1" customWidth="1"/>
    <col min="11267" max="11269" width="17.33203125" customWidth="1"/>
    <col min="11521" max="11521" width="24.44140625" customWidth="1"/>
    <col min="11522" max="11522" width="16.33203125" bestFit="1" customWidth="1"/>
    <col min="11523" max="11525" width="17.33203125" customWidth="1"/>
    <col min="11777" max="11777" width="24.44140625" customWidth="1"/>
    <col min="11778" max="11778" width="16.33203125" bestFit="1" customWidth="1"/>
    <col min="11779" max="11781" width="17.33203125" customWidth="1"/>
    <col min="12033" max="12033" width="24.44140625" customWidth="1"/>
    <col min="12034" max="12034" width="16.33203125" bestFit="1" customWidth="1"/>
    <col min="12035" max="12037" width="17.33203125" customWidth="1"/>
    <col min="12289" max="12289" width="24.44140625" customWidth="1"/>
    <col min="12290" max="12290" width="16.33203125" bestFit="1" customWidth="1"/>
    <col min="12291" max="12293" width="17.33203125" customWidth="1"/>
    <col min="12545" max="12545" width="24.44140625" customWidth="1"/>
    <col min="12546" max="12546" width="16.33203125" bestFit="1" customWidth="1"/>
    <col min="12547" max="12549" width="17.33203125" customWidth="1"/>
    <col min="12801" max="12801" width="24.44140625" customWidth="1"/>
    <col min="12802" max="12802" width="16.33203125" bestFit="1" customWidth="1"/>
    <col min="12803" max="12805" width="17.33203125" customWidth="1"/>
    <col min="13057" max="13057" width="24.44140625" customWidth="1"/>
    <col min="13058" max="13058" width="16.33203125" bestFit="1" customWidth="1"/>
    <col min="13059" max="13061" width="17.33203125" customWidth="1"/>
    <col min="13313" max="13313" width="24.44140625" customWidth="1"/>
    <col min="13314" max="13314" width="16.33203125" bestFit="1" customWidth="1"/>
    <col min="13315" max="13317" width="17.33203125" customWidth="1"/>
    <col min="13569" max="13569" width="24.44140625" customWidth="1"/>
    <col min="13570" max="13570" width="16.33203125" bestFit="1" customWidth="1"/>
    <col min="13571" max="13573" width="17.33203125" customWidth="1"/>
    <col min="13825" max="13825" width="24.44140625" customWidth="1"/>
    <col min="13826" max="13826" width="16.33203125" bestFit="1" customWidth="1"/>
    <col min="13827" max="13829" width="17.33203125" customWidth="1"/>
    <col min="14081" max="14081" width="24.44140625" customWidth="1"/>
    <col min="14082" max="14082" width="16.33203125" bestFit="1" customWidth="1"/>
    <col min="14083" max="14085" width="17.33203125" customWidth="1"/>
    <col min="14337" max="14337" width="24.44140625" customWidth="1"/>
    <col min="14338" max="14338" width="16.33203125" bestFit="1" customWidth="1"/>
    <col min="14339" max="14341" width="17.33203125" customWidth="1"/>
    <col min="14593" max="14593" width="24.44140625" customWidth="1"/>
    <col min="14594" max="14594" width="16.33203125" bestFit="1" customWidth="1"/>
    <col min="14595" max="14597" width="17.33203125" customWidth="1"/>
    <col min="14849" max="14849" width="24.44140625" customWidth="1"/>
    <col min="14850" max="14850" width="16.33203125" bestFit="1" customWidth="1"/>
    <col min="14851" max="14853" width="17.33203125" customWidth="1"/>
    <col min="15105" max="15105" width="24.44140625" customWidth="1"/>
    <col min="15106" max="15106" width="16.33203125" bestFit="1" customWidth="1"/>
    <col min="15107" max="15109" width="17.33203125" customWidth="1"/>
    <col min="15361" max="15361" width="24.44140625" customWidth="1"/>
    <col min="15362" max="15362" width="16.33203125" bestFit="1" customWidth="1"/>
    <col min="15363" max="15365" width="17.33203125" customWidth="1"/>
    <col min="15617" max="15617" width="24.44140625" customWidth="1"/>
    <col min="15618" max="15618" width="16.33203125" bestFit="1" customWidth="1"/>
    <col min="15619" max="15621" width="17.33203125" customWidth="1"/>
    <col min="15873" max="15873" width="24.44140625" customWidth="1"/>
    <col min="15874" max="15874" width="16.33203125" bestFit="1" customWidth="1"/>
    <col min="15875" max="15877" width="17.33203125" customWidth="1"/>
    <col min="16129" max="16129" width="24.44140625" customWidth="1"/>
    <col min="16130" max="16130" width="16.33203125" bestFit="1" customWidth="1"/>
    <col min="16131" max="16133" width="17.33203125" customWidth="1"/>
  </cols>
  <sheetData>
    <row r="1" spans="1:5" ht="28.8" x14ac:dyDescent="0.3">
      <c r="A1" s="34" t="str">
        <f>"Ex 28: How much do you have to have in the bank when you retire if you want to withdraw "&amp;DOLLAR(-B2)&amp;" at the end of each period for the next "&amp;B5&amp;" years and you can earn "&amp;TEXT(B3,"0.00%")&amp;" compounded "&amp;B4&amp;" times a year?"</f>
        <v>Ex 28: How much do you have to have in the bank when you retire if you want to withdraw ($3,000.00) at the end of each period for the next 35 years and you can earn 6.00% compounded 12 times a year?</v>
      </c>
      <c r="B1" s="34"/>
      <c r="C1" s="144"/>
      <c r="D1" s="144"/>
      <c r="E1" s="141"/>
    </row>
    <row r="2" spans="1:5" x14ac:dyDescent="0.3">
      <c r="A2" s="1" t="s">
        <v>97</v>
      </c>
      <c r="B2" s="1">
        <v>3000</v>
      </c>
    </row>
    <row r="3" spans="1:5" x14ac:dyDescent="0.3">
      <c r="A3" s="1" t="s">
        <v>105</v>
      </c>
      <c r="B3" s="1">
        <v>0.06</v>
      </c>
    </row>
    <row r="4" spans="1:5" x14ac:dyDescent="0.3">
      <c r="A4" s="1" t="s">
        <v>39</v>
      </c>
      <c r="B4" s="1">
        <v>12</v>
      </c>
    </row>
    <row r="5" spans="1:5" x14ac:dyDescent="0.3">
      <c r="A5" s="1" t="s">
        <v>77</v>
      </c>
      <c r="B5" s="1">
        <v>35</v>
      </c>
    </row>
    <row r="6" spans="1:5" x14ac:dyDescent="0.3">
      <c r="A6" s="1" t="s">
        <v>102</v>
      </c>
      <c r="B6" s="72">
        <f>PV(B3/B4,B5*B4,B2)</f>
        <v>-526140.67868494533</v>
      </c>
    </row>
    <row r="7" spans="1:5" x14ac:dyDescent="0.3">
      <c r="A7" s="1" t="s">
        <v>102</v>
      </c>
      <c r="B7" s="74">
        <f>PV(B3/B4,B5*B4,B2)</f>
        <v>-526140.67868494533</v>
      </c>
    </row>
    <row r="8" spans="1:5" ht="43.2" x14ac:dyDescent="0.3">
      <c r="A8" s="70" t="s">
        <v>82</v>
      </c>
      <c r="B8" s="58" t="str">
        <f>IF(B7="","","You have to have "&amp;DOLLAR(-B7)&amp;" in the bank when you retire if you want to withdraw "&amp;DOLLAR(-B2)&amp;" at the end of each period for the next "&amp;B5&amp;" years and you can earn "&amp;TEXT(B3,"0.00%")&amp;" compounded "&amp;B4&amp;" times a year.")</f>
        <v>You have to have $526,140.68 in the bank when you retire if you want to withdraw ($3,000.00) at the end of each period for the next 35 years and you can earn 6.00% compounded 12 times a year.</v>
      </c>
      <c r="C8" s="59"/>
      <c r="D8" s="59"/>
      <c r="E8" s="60"/>
    </row>
    <row r="10" spans="1:5" ht="28.8" x14ac:dyDescent="0.3">
      <c r="A10" s="34" t="str">
        <f>"Ex 29: If you need "&amp;DOLLAR(-PV(B3/B4,B5*B4,B2))&amp;" when you retire, how much do you need to invest each period if you are "&amp;B14&amp;" and you plan to retire when you are "&amp;B15&amp;" (i = "&amp;TEXT(B12,"0.00%")&amp;", n = "&amp;B13&amp;")."</f>
        <v>Ex 29: If you need $526,140.68 when you retire, how much do you need to invest each period if you are 28 and you plan to retire when you are 70 (i = 10.00%, n = 12).</v>
      </c>
      <c r="B10" s="34"/>
      <c r="C10" s="144"/>
      <c r="D10" s="144"/>
      <c r="E10" s="141"/>
    </row>
    <row r="11" spans="1:5" x14ac:dyDescent="0.3">
      <c r="A11" s="1" t="s">
        <v>95</v>
      </c>
      <c r="B11" s="9">
        <f>-B7</f>
        <v>526140.67868494533</v>
      </c>
    </row>
    <row r="12" spans="1:5" x14ac:dyDescent="0.3">
      <c r="A12" s="1" t="s">
        <v>101</v>
      </c>
      <c r="B12" s="1">
        <v>0.1</v>
      </c>
    </row>
    <row r="13" spans="1:5" x14ac:dyDescent="0.3">
      <c r="A13" s="1" t="s">
        <v>39</v>
      </c>
      <c r="B13" s="1">
        <v>12</v>
      </c>
    </row>
    <row r="14" spans="1:5" x14ac:dyDescent="0.3">
      <c r="A14" s="1" t="s">
        <v>106</v>
      </c>
      <c r="B14" s="1">
        <v>28</v>
      </c>
    </row>
    <row r="15" spans="1:5" x14ac:dyDescent="0.3">
      <c r="A15" s="1" t="s">
        <v>107</v>
      </c>
      <c r="B15" s="1">
        <v>70</v>
      </c>
    </row>
    <row r="16" spans="1:5" x14ac:dyDescent="0.3">
      <c r="A16" s="1" t="s">
        <v>77</v>
      </c>
      <c r="B16" s="42">
        <f>B15-B14</f>
        <v>42</v>
      </c>
    </row>
    <row r="17" spans="1:5" x14ac:dyDescent="0.3">
      <c r="A17" s="1" t="s">
        <v>97</v>
      </c>
      <c r="B17" s="71"/>
    </row>
    <row r="18" spans="1:5" x14ac:dyDescent="0.3">
      <c r="A18" s="1" t="s">
        <v>97</v>
      </c>
      <c r="B18" s="72">
        <f>PMT(B12/B13,B16*B13,,B11)</f>
        <v>-67.939118858319119</v>
      </c>
    </row>
    <row r="19" spans="1:5" x14ac:dyDescent="0.3">
      <c r="A19" s="1" t="s">
        <v>108</v>
      </c>
      <c r="B19" s="71">
        <f>B18*B16*B13</f>
        <v>-34241.315904592833</v>
      </c>
      <c r="D19" s="73"/>
    </row>
    <row r="20" spans="1:5" x14ac:dyDescent="0.3">
      <c r="A20" s="1" t="s">
        <v>109</v>
      </c>
      <c r="B20" s="71">
        <f>B2*B5*B4</f>
        <v>1260000</v>
      </c>
      <c r="D20" s="73"/>
    </row>
    <row r="21" spans="1:5" x14ac:dyDescent="0.3">
      <c r="A21" s="1" t="s">
        <v>110</v>
      </c>
      <c r="B21" s="71">
        <f>SUM(B19:B20)</f>
        <v>1225758.6840954071</v>
      </c>
      <c r="D21" s="73"/>
    </row>
    <row r="22" spans="1:5" ht="43.2" x14ac:dyDescent="0.3">
      <c r="A22" s="1" t="s">
        <v>82</v>
      </c>
      <c r="B22" s="58" t="str">
        <f>IF(B18="","","If we invest "&amp;DOLLAR(-B18)&amp;" for "&amp;B16*B13&amp;" months at an APR of "&amp;TEXT(B12,"0.00%")&amp;" compounded "&amp;B13&amp;" times a year, we will be able to then withdraw "&amp;DOLLAR(B2)&amp;" for "&amp;B4*B5&amp;" months for a total net gain of "&amp;DOLLAR(B21)&amp;".")</f>
        <v>If we invest $67.94 for 504 months at an APR of 10.00% compounded 12 times a year, we will be able to then withdraw $3,000.00 for 420 months for a total net gain of $1,225,758.68.</v>
      </c>
      <c r="C22" s="59"/>
      <c r="D22" s="59"/>
      <c r="E22" s="60"/>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1"/>
  <sheetViews>
    <sheetView zoomScale="130" zoomScaleNormal="130" workbookViewId="0">
      <selection activeCell="B6" sqref="B6"/>
    </sheetView>
  </sheetViews>
  <sheetFormatPr defaultRowHeight="14.4" x14ac:dyDescent="0.3"/>
  <cols>
    <col min="1" max="1" width="23.6640625" bestFit="1" customWidth="1"/>
    <col min="2" max="2" width="12.5546875" bestFit="1" customWidth="1"/>
    <col min="257" max="257" width="23.6640625" bestFit="1" customWidth="1"/>
    <col min="258" max="258" width="12.5546875" bestFit="1" customWidth="1"/>
    <col min="513" max="513" width="23.6640625" bestFit="1" customWidth="1"/>
    <col min="514" max="514" width="12.5546875" bestFit="1" customWidth="1"/>
    <col min="769" max="769" width="23.6640625" bestFit="1" customWidth="1"/>
    <col min="770" max="770" width="12.5546875" bestFit="1" customWidth="1"/>
    <col min="1025" max="1025" width="23.6640625" bestFit="1" customWidth="1"/>
    <col min="1026" max="1026" width="12.5546875" bestFit="1" customWidth="1"/>
    <col min="1281" max="1281" width="23.6640625" bestFit="1" customWidth="1"/>
    <col min="1282" max="1282" width="12.5546875" bestFit="1" customWidth="1"/>
    <col min="1537" max="1537" width="23.6640625" bestFit="1" customWidth="1"/>
    <col min="1538" max="1538" width="12.5546875" bestFit="1" customWidth="1"/>
    <col min="1793" max="1793" width="23.6640625" bestFit="1" customWidth="1"/>
    <col min="1794" max="1794" width="12.5546875" bestFit="1" customWidth="1"/>
    <col min="2049" max="2049" width="23.6640625" bestFit="1" customWidth="1"/>
    <col min="2050" max="2050" width="12.5546875" bestFit="1" customWidth="1"/>
    <col min="2305" max="2305" width="23.6640625" bestFit="1" customWidth="1"/>
    <col min="2306" max="2306" width="12.5546875" bestFit="1" customWidth="1"/>
    <col min="2561" max="2561" width="23.6640625" bestFit="1" customWidth="1"/>
    <col min="2562" max="2562" width="12.5546875" bestFit="1" customWidth="1"/>
    <col min="2817" max="2817" width="23.6640625" bestFit="1" customWidth="1"/>
    <col min="2818" max="2818" width="12.5546875" bestFit="1" customWidth="1"/>
    <col min="3073" max="3073" width="23.6640625" bestFit="1" customWidth="1"/>
    <col min="3074" max="3074" width="12.5546875" bestFit="1" customWidth="1"/>
    <col min="3329" max="3329" width="23.6640625" bestFit="1" customWidth="1"/>
    <col min="3330" max="3330" width="12.5546875" bestFit="1" customWidth="1"/>
    <col min="3585" max="3585" width="23.6640625" bestFit="1" customWidth="1"/>
    <col min="3586" max="3586" width="12.5546875" bestFit="1" customWidth="1"/>
    <col min="3841" max="3841" width="23.6640625" bestFit="1" customWidth="1"/>
    <col min="3842" max="3842" width="12.5546875" bestFit="1" customWidth="1"/>
    <col min="4097" max="4097" width="23.6640625" bestFit="1" customWidth="1"/>
    <col min="4098" max="4098" width="12.5546875" bestFit="1" customWidth="1"/>
    <col min="4353" max="4353" width="23.6640625" bestFit="1" customWidth="1"/>
    <col min="4354" max="4354" width="12.5546875" bestFit="1" customWidth="1"/>
    <col min="4609" max="4609" width="23.6640625" bestFit="1" customWidth="1"/>
    <col min="4610" max="4610" width="12.5546875" bestFit="1" customWidth="1"/>
    <col min="4865" max="4865" width="23.6640625" bestFit="1" customWidth="1"/>
    <col min="4866" max="4866" width="12.5546875" bestFit="1" customWidth="1"/>
    <col min="5121" max="5121" width="23.6640625" bestFit="1" customWidth="1"/>
    <col min="5122" max="5122" width="12.5546875" bestFit="1" customWidth="1"/>
    <col min="5377" max="5377" width="23.6640625" bestFit="1" customWidth="1"/>
    <col min="5378" max="5378" width="12.5546875" bestFit="1" customWidth="1"/>
    <col min="5633" max="5633" width="23.6640625" bestFit="1" customWidth="1"/>
    <col min="5634" max="5634" width="12.5546875" bestFit="1" customWidth="1"/>
    <col min="5889" max="5889" width="23.6640625" bestFit="1" customWidth="1"/>
    <col min="5890" max="5890" width="12.5546875" bestFit="1" customWidth="1"/>
    <col min="6145" max="6145" width="23.6640625" bestFit="1" customWidth="1"/>
    <col min="6146" max="6146" width="12.5546875" bestFit="1" customWidth="1"/>
    <col min="6401" max="6401" width="23.6640625" bestFit="1" customWidth="1"/>
    <col min="6402" max="6402" width="12.5546875" bestFit="1" customWidth="1"/>
    <col min="6657" max="6657" width="23.6640625" bestFit="1" customWidth="1"/>
    <col min="6658" max="6658" width="12.5546875" bestFit="1" customWidth="1"/>
    <col min="6913" max="6913" width="23.6640625" bestFit="1" customWidth="1"/>
    <col min="6914" max="6914" width="12.5546875" bestFit="1" customWidth="1"/>
    <col min="7169" max="7169" width="23.6640625" bestFit="1" customWidth="1"/>
    <col min="7170" max="7170" width="12.5546875" bestFit="1" customWidth="1"/>
    <col min="7425" max="7425" width="23.6640625" bestFit="1" customWidth="1"/>
    <col min="7426" max="7426" width="12.5546875" bestFit="1" customWidth="1"/>
    <col min="7681" max="7681" width="23.6640625" bestFit="1" customWidth="1"/>
    <col min="7682" max="7682" width="12.5546875" bestFit="1" customWidth="1"/>
    <col min="7937" max="7937" width="23.6640625" bestFit="1" customWidth="1"/>
    <col min="7938" max="7938" width="12.5546875" bestFit="1" customWidth="1"/>
    <col min="8193" max="8193" width="23.6640625" bestFit="1" customWidth="1"/>
    <col min="8194" max="8194" width="12.5546875" bestFit="1" customWidth="1"/>
    <col min="8449" max="8449" width="23.6640625" bestFit="1" customWidth="1"/>
    <col min="8450" max="8450" width="12.5546875" bestFit="1" customWidth="1"/>
    <col min="8705" max="8705" width="23.6640625" bestFit="1" customWidth="1"/>
    <col min="8706" max="8706" width="12.5546875" bestFit="1" customWidth="1"/>
    <col min="8961" max="8961" width="23.6640625" bestFit="1" customWidth="1"/>
    <col min="8962" max="8962" width="12.5546875" bestFit="1" customWidth="1"/>
    <col min="9217" max="9217" width="23.6640625" bestFit="1" customWidth="1"/>
    <col min="9218" max="9218" width="12.5546875" bestFit="1" customWidth="1"/>
    <col min="9473" max="9473" width="23.6640625" bestFit="1" customWidth="1"/>
    <col min="9474" max="9474" width="12.5546875" bestFit="1" customWidth="1"/>
    <col min="9729" max="9729" width="23.6640625" bestFit="1" customWidth="1"/>
    <col min="9730" max="9730" width="12.5546875" bestFit="1" customWidth="1"/>
    <col min="9985" max="9985" width="23.6640625" bestFit="1" customWidth="1"/>
    <col min="9986" max="9986" width="12.5546875" bestFit="1" customWidth="1"/>
    <col min="10241" max="10241" width="23.6640625" bestFit="1" customWidth="1"/>
    <col min="10242" max="10242" width="12.5546875" bestFit="1" customWidth="1"/>
    <col min="10497" max="10497" width="23.6640625" bestFit="1" customWidth="1"/>
    <col min="10498" max="10498" width="12.5546875" bestFit="1" customWidth="1"/>
    <col min="10753" max="10753" width="23.6640625" bestFit="1" customWidth="1"/>
    <col min="10754" max="10754" width="12.5546875" bestFit="1" customWidth="1"/>
    <col min="11009" max="11009" width="23.6640625" bestFit="1" customWidth="1"/>
    <col min="11010" max="11010" width="12.5546875" bestFit="1" customWidth="1"/>
    <col min="11265" max="11265" width="23.6640625" bestFit="1" customWidth="1"/>
    <col min="11266" max="11266" width="12.5546875" bestFit="1" customWidth="1"/>
    <col min="11521" max="11521" width="23.6640625" bestFit="1" customWidth="1"/>
    <col min="11522" max="11522" width="12.5546875" bestFit="1" customWidth="1"/>
    <col min="11777" max="11777" width="23.6640625" bestFit="1" customWidth="1"/>
    <col min="11778" max="11778" width="12.5546875" bestFit="1" customWidth="1"/>
    <col min="12033" max="12033" width="23.6640625" bestFit="1" customWidth="1"/>
    <col min="12034" max="12034" width="12.5546875" bestFit="1" customWidth="1"/>
    <col min="12289" max="12289" width="23.6640625" bestFit="1" customWidth="1"/>
    <col min="12290" max="12290" width="12.5546875" bestFit="1" customWidth="1"/>
    <col min="12545" max="12545" width="23.6640625" bestFit="1" customWidth="1"/>
    <col min="12546" max="12546" width="12.5546875" bestFit="1" customWidth="1"/>
    <col min="12801" max="12801" width="23.6640625" bestFit="1" customWidth="1"/>
    <col min="12802" max="12802" width="12.5546875" bestFit="1" customWidth="1"/>
    <col min="13057" max="13057" width="23.6640625" bestFit="1" customWidth="1"/>
    <col min="13058" max="13058" width="12.5546875" bestFit="1" customWidth="1"/>
    <col min="13313" max="13313" width="23.6640625" bestFit="1" customWidth="1"/>
    <col min="13314" max="13314" width="12.5546875" bestFit="1" customWidth="1"/>
    <col min="13569" max="13569" width="23.6640625" bestFit="1" customWidth="1"/>
    <col min="13570" max="13570" width="12.5546875" bestFit="1" customWidth="1"/>
    <col min="13825" max="13825" width="23.6640625" bestFit="1" customWidth="1"/>
    <col min="13826" max="13826" width="12.5546875" bestFit="1" customWidth="1"/>
    <col min="14081" max="14081" width="23.6640625" bestFit="1" customWidth="1"/>
    <col min="14082" max="14082" width="12.5546875" bestFit="1" customWidth="1"/>
    <col min="14337" max="14337" width="23.6640625" bestFit="1" customWidth="1"/>
    <col min="14338" max="14338" width="12.5546875" bestFit="1" customWidth="1"/>
    <col min="14593" max="14593" width="23.6640625" bestFit="1" customWidth="1"/>
    <col min="14594" max="14594" width="12.5546875" bestFit="1" customWidth="1"/>
    <col min="14849" max="14849" width="23.6640625" bestFit="1" customWidth="1"/>
    <col min="14850" max="14850" width="12.5546875" bestFit="1" customWidth="1"/>
    <col min="15105" max="15105" width="23.6640625" bestFit="1" customWidth="1"/>
    <col min="15106" max="15106" width="12.5546875" bestFit="1" customWidth="1"/>
    <col min="15361" max="15361" width="23.6640625" bestFit="1" customWidth="1"/>
    <col min="15362" max="15362" width="12.5546875" bestFit="1" customWidth="1"/>
    <col min="15617" max="15617" width="23.6640625" bestFit="1" customWidth="1"/>
    <col min="15618" max="15618" width="12.5546875" bestFit="1" customWidth="1"/>
    <col min="15873" max="15873" width="23.6640625" bestFit="1" customWidth="1"/>
    <col min="15874" max="15874" width="12.5546875" bestFit="1" customWidth="1"/>
    <col min="16129" max="16129" width="23.6640625" bestFit="1" customWidth="1"/>
    <col min="16130" max="16130" width="12.5546875" bestFit="1" customWidth="1"/>
  </cols>
  <sheetData>
    <row r="1" spans="1:7" ht="43.2" x14ac:dyDescent="0.3">
      <c r="A1" s="173" t="str">
        <f>"If a new machine will yield a net cash flow of "&amp;DOLLAR(B2)&amp;" per month for the next "&amp;B5&amp;" years and your discount rate is "&amp;TEXT(B3,"0.00%")&amp;" compounded "&amp;B4&amp;" times a year, what is the maximum amount that you should pay for the machine?"</f>
        <v>If a new machine will yield a net cash flow of $10,000.00 per month for the next 5 years and your discount rate is 15.00% compounded 12 times a year, what is the maximum amount that you should pay for the machine?</v>
      </c>
      <c r="B1" s="144"/>
      <c r="C1" s="144"/>
      <c r="D1" s="144"/>
      <c r="E1" s="144"/>
      <c r="F1" s="141"/>
    </row>
    <row r="2" spans="1:7" x14ac:dyDescent="0.3">
      <c r="A2" s="49" t="s">
        <v>97</v>
      </c>
      <c r="B2" s="76">
        <v>10000</v>
      </c>
    </row>
    <row r="3" spans="1:7" x14ac:dyDescent="0.3">
      <c r="A3" s="1" t="s">
        <v>111</v>
      </c>
      <c r="B3" s="77">
        <v>0.15</v>
      </c>
    </row>
    <row r="4" spans="1:7" x14ac:dyDescent="0.3">
      <c r="A4" s="1" t="s">
        <v>39</v>
      </c>
      <c r="B4" s="1">
        <v>12</v>
      </c>
      <c r="D4" s="1" t="s">
        <v>207</v>
      </c>
      <c r="F4" s="1" t="s">
        <v>207</v>
      </c>
    </row>
    <row r="5" spans="1:7" x14ac:dyDescent="0.3">
      <c r="A5" s="1" t="s">
        <v>77</v>
      </c>
      <c r="B5" s="1">
        <v>5</v>
      </c>
      <c r="D5" s="1">
        <v>-400000</v>
      </c>
      <c r="F5" s="1">
        <v>-450000</v>
      </c>
    </row>
    <row r="6" spans="1:7" x14ac:dyDescent="0.3">
      <c r="A6" s="1" t="s">
        <v>102</v>
      </c>
      <c r="B6" s="30"/>
      <c r="D6" s="1"/>
      <c r="F6" s="1"/>
    </row>
    <row r="7" spans="1:7" x14ac:dyDescent="0.3">
      <c r="A7" s="1" t="s">
        <v>102</v>
      </c>
      <c r="B7" s="30"/>
    </row>
    <row r="8" spans="1:7" ht="57.6" x14ac:dyDescent="0.3">
      <c r="A8" s="1" t="s">
        <v>82</v>
      </c>
      <c r="B8" s="58" t="str">
        <f>IF(B7="","","If a new machine will yield a net cash flow of "&amp;DOLLAR(B2)&amp;" per month for the next "&amp;B5&amp;" years and your discount rate is "&amp;TEXT(B3,"0.00%")&amp;" compounded "&amp;B4&amp;" times a year, the the maximum amount that you should pay for the machine is "&amp;DOLLAR(-B7)&amp;".")</f>
        <v/>
      </c>
      <c r="C8" s="59"/>
      <c r="D8" s="59"/>
      <c r="E8" s="59"/>
      <c r="F8" s="59"/>
      <c r="G8" s="60"/>
    </row>
    <row r="11" spans="1:7" x14ac:dyDescent="0.3">
      <c r="A11" t="s">
        <v>292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zoomScaleNormal="100" workbookViewId="0">
      <selection activeCell="C15" sqref="C15"/>
    </sheetView>
  </sheetViews>
  <sheetFormatPr defaultRowHeight="14.4" x14ac:dyDescent="0.3"/>
  <cols>
    <col min="1" max="1" width="23.5546875" customWidth="1"/>
    <col min="2" max="2" width="10.88671875" customWidth="1"/>
    <col min="3" max="3" width="15.33203125" customWidth="1"/>
    <col min="4" max="4" width="14.109375" customWidth="1"/>
    <col min="6" max="6" width="11.44140625" bestFit="1" customWidth="1"/>
    <col min="8" max="8" width="10.6640625" bestFit="1" customWidth="1"/>
    <col min="10" max="10" width="10.6640625" bestFit="1" customWidth="1"/>
  </cols>
  <sheetData>
    <row r="1" spans="1:6" x14ac:dyDescent="0.3">
      <c r="A1" s="8" t="s">
        <v>9</v>
      </c>
      <c r="B1" s="1" t="s">
        <v>2</v>
      </c>
      <c r="C1" s="4">
        <v>0.1</v>
      </c>
    </row>
    <row r="2" spans="1:6" ht="28.95" x14ac:dyDescent="0.3">
      <c r="A2" s="8" t="s">
        <v>27</v>
      </c>
      <c r="B2" s="1" t="s">
        <v>3</v>
      </c>
      <c r="C2" s="3">
        <v>2</v>
      </c>
    </row>
    <row r="3" spans="1:6" x14ac:dyDescent="0.3">
      <c r="A3" s="8" t="s">
        <v>10</v>
      </c>
      <c r="B3" s="1" t="s">
        <v>4</v>
      </c>
      <c r="C3" s="3">
        <v>5</v>
      </c>
    </row>
    <row r="4" spans="1:6" x14ac:dyDescent="0.3">
      <c r="A4" s="8" t="s">
        <v>11</v>
      </c>
      <c r="B4" s="1" t="s">
        <v>5</v>
      </c>
      <c r="C4" s="2">
        <f>C1/C2</f>
        <v>0.05</v>
      </c>
    </row>
    <row r="5" spans="1:6" x14ac:dyDescent="0.3">
      <c r="A5" s="8" t="s">
        <v>12</v>
      </c>
      <c r="B5" s="1" t="s">
        <v>6</v>
      </c>
      <c r="C5" s="2">
        <f>C3*C2</f>
        <v>10</v>
      </c>
    </row>
    <row r="6" spans="1:6" x14ac:dyDescent="0.3">
      <c r="A6" s="8" t="s">
        <v>8</v>
      </c>
      <c r="B6" s="1" t="s">
        <v>1</v>
      </c>
      <c r="C6" s="18">
        <f>SUM(D9:D19)</f>
        <v>11602.123408027441</v>
      </c>
    </row>
    <row r="7" spans="1:6" x14ac:dyDescent="0.3">
      <c r="A7" s="16"/>
      <c r="B7" s="5"/>
    </row>
    <row r="8" spans="1:6" ht="43.2" x14ac:dyDescent="0.3">
      <c r="A8" s="11" t="s">
        <v>25</v>
      </c>
      <c r="B8" s="11" t="s">
        <v>29</v>
      </c>
      <c r="C8" s="11" t="s">
        <v>30</v>
      </c>
      <c r="D8" s="11" t="s">
        <v>28</v>
      </c>
      <c r="F8" s="11" t="s">
        <v>13</v>
      </c>
    </row>
    <row r="9" spans="1:6" x14ac:dyDescent="0.3">
      <c r="A9" s="9" t="s">
        <v>14</v>
      </c>
      <c r="B9" s="1">
        <v>10</v>
      </c>
      <c r="C9" s="14">
        <v>-1000</v>
      </c>
      <c r="D9" s="18">
        <f>FV($C$4,B9,,C9)</f>
        <v>1628.8946267774415</v>
      </c>
      <c r="F9" s="18">
        <f t="shared" ref="F9:F19" si="0">(1+$C$4)^B9*-C9</f>
        <v>1628.8946267774415</v>
      </c>
    </row>
    <row r="10" spans="1:6" x14ac:dyDescent="0.3">
      <c r="A10" s="9" t="s">
        <v>15</v>
      </c>
      <c r="B10" s="1">
        <v>9</v>
      </c>
      <c r="C10" s="14">
        <v>0</v>
      </c>
      <c r="D10" s="18">
        <f t="shared" ref="D10:D19" si="1">FV($C$4,B10,,C10)</f>
        <v>0</v>
      </c>
      <c r="F10" s="18">
        <f t="shared" si="0"/>
        <v>0</v>
      </c>
    </row>
    <row r="11" spans="1:6" x14ac:dyDescent="0.3">
      <c r="A11" s="9" t="s">
        <v>16</v>
      </c>
      <c r="B11" s="1">
        <v>8</v>
      </c>
      <c r="C11" s="14">
        <v>0</v>
      </c>
      <c r="D11" s="18">
        <f t="shared" si="1"/>
        <v>0</v>
      </c>
      <c r="F11" s="18">
        <f t="shared" si="0"/>
        <v>0</v>
      </c>
    </row>
    <row r="12" spans="1:6" x14ac:dyDescent="0.3">
      <c r="A12" s="9" t="s">
        <v>17</v>
      </c>
      <c r="B12" s="1">
        <v>7</v>
      </c>
      <c r="C12" s="14">
        <v>0</v>
      </c>
      <c r="D12" s="18">
        <f t="shared" si="1"/>
        <v>0</v>
      </c>
      <c r="F12" s="18">
        <f t="shared" si="0"/>
        <v>0</v>
      </c>
    </row>
    <row r="13" spans="1:6" x14ac:dyDescent="0.3">
      <c r="A13" s="9" t="s">
        <v>18</v>
      </c>
      <c r="B13" s="1">
        <v>6</v>
      </c>
      <c r="C13" s="14">
        <v>-2000</v>
      </c>
      <c r="D13" s="18">
        <f t="shared" si="1"/>
        <v>2680.19128125</v>
      </c>
      <c r="F13" s="18">
        <f t="shared" si="0"/>
        <v>2680.19128125</v>
      </c>
    </row>
    <row r="14" spans="1:6" x14ac:dyDescent="0.3">
      <c r="A14" s="9" t="s">
        <v>19</v>
      </c>
      <c r="B14" s="1">
        <v>5</v>
      </c>
      <c r="C14" s="14">
        <v>0</v>
      </c>
      <c r="D14" s="18">
        <f t="shared" si="1"/>
        <v>0</v>
      </c>
      <c r="F14" s="18">
        <f t="shared" si="0"/>
        <v>0</v>
      </c>
    </row>
    <row r="15" spans="1:6" x14ac:dyDescent="0.3">
      <c r="A15" s="9" t="s">
        <v>20</v>
      </c>
      <c r="B15" s="1">
        <v>4</v>
      </c>
      <c r="C15" s="14">
        <v>-6000</v>
      </c>
      <c r="D15" s="18">
        <f t="shared" si="1"/>
        <v>7293.0375000000004</v>
      </c>
      <c r="F15" s="18">
        <f t="shared" si="0"/>
        <v>7293.0375000000004</v>
      </c>
    </row>
    <row r="16" spans="1:6" x14ac:dyDescent="0.3">
      <c r="A16" s="9" t="s">
        <v>21</v>
      </c>
      <c r="B16" s="1">
        <v>3</v>
      </c>
      <c r="C16" s="14">
        <v>0</v>
      </c>
      <c r="D16" s="18">
        <f t="shared" si="1"/>
        <v>0</v>
      </c>
      <c r="F16" s="18">
        <f t="shared" si="0"/>
        <v>0</v>
      </c>
    </row>
    <row r="17" spans="1:10" x14ac:dyDescent="0.3">
      <c r="A17" s="9" t="s">
        <v>22</v>
      </c>
      <c r="B17" s="1">
        <v>2</v>
      </c>
      <c r="C17" s="14">
        <v>0</v>
      </c>
      <c r="D17" s="18">
        <f t="shared" si="1"/>
        <v>0</v>
      </c>
      <c r="F17" s="18">
        <f t="shared" si="0"/>
        <v>0</v>
      </c>
    </row>
    <row r="18" spans="1:10" x14ac:dyDescent="0.3">
      <c r="A18" s="9" t="s">
        <v>23</v>
      </c>
      <c r="B18" s="1">
        <v>1</v>
      </c>
      <c r="C18" s="14">
        <v>0</v>
      </c>
      <c r="D18" s="18">
        <f t="shared" si="1"/>
        <v>0</v>
      </c>
      <c r="F18" s="18">
        <f t="shared" si="0"/>
        <v>0</v>
      </c>
    </row>
    <row r="19" spans="1:10" x14ac:dyDescent="0.3">
      <c r="A19" s="9" t="s">
        <v>24</v>
      </c>
      <c r="B19" s="1">
        <v>0</v>
      </c>
      <c r="C19" s="14">
        <v>0</v>
      </c>
      <c r="D19" s="18">
        <f t="shared" si="1"/>
        <v>0</v>
      </c>
      <c r="F19" s="18">
        <f t="shared" si="0"/>
        <v>0</v>
      </c>
    </row>
    <row r="20" spans="1:10" x14ac:dyDescent="0.3">
      <c r="J20" t="s">
        <v>13</v>
      </c>
    </row>
    <row r="21" spans="1:10" x14ac:dyDescent="0.3">
      <c r="F21" s="9">
        <f>SUM(F9:F19)</f>
        <v>11602.123408027441</v>
      </c>
      <c r="J21" s="12">
        <f>SUMPRODUCT((NPV(C4,-C10:C19)-C9)*(1+C4)^C5)</f>
        <v>11602.123408027441</v>
      </c>
    </row>
    <row r="22" spans="1:10" ht="28.8" x14ac:dyDescent="0.3">
      <c r="A22" s="15"/>
      <c r="C22" s="17" t="s">
        <v>33</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1"/>
  <sheetViews>
    <sheetView workbookViewId="0">
      <selection activeCell="B6" sqref="B6"/>
    </sheetView>
  </sheetViews>
  <sheetFormatPr defaultRowHeight="14.4" x14ac:dyDescent="0.3"/>
  <cols>
    <col min="1" max="1" width="23.6640625" bestFit="1" customWidth="1"/>
    <col min="2" max="2" width="12.5546875" bestFit="1" customWidth="1"/>
    <col min="257" max="257" width="23.6640625" bestFit="1" customWidth="1"/>
    <col min="258" max="258" width="12.5546875" bestFit="1" customWidth="1"/>
    <col min="513" max="513" width="23.6640625" bestFit="1" customWidth="1"/>
    <col min="514" max="514" width="12.5546875" bestFit="1" customWidth="1"/>
    <col min="769" max="769" width="23.6640625" bestFit="1" customWidth="1"/>
    <col min="770" max="770" width="12.5546875" bestFit="1" customWidth="1"/>
    <col min="1025" max="1025" width="23.6640625" bestFit="1" customWidth="1"/>
    <col min="1026" max="1026" width="12.5546875" bestFit="1" customWidth="1"/>
    <col min="1281" max="1281" width="23.6640625" bestFit="1" customWidth="1"/>
    <col min="1282" max="1282" width="12.5546875" bestFit="1" customWidth="1"/>
    <col min="1537" max="1537" width="23.6640625" bestFit="1" customWidth="1"/>
    <col min="1538" max="1538" width="12.5546875" bestFit="1" customWidth="1"/>
    <col min="1793" max="1793" width="23.6640625" bestFit="1" customWidth="1"/>
    <col min="1794" max="1794" width="12.5546875" bestFit="1" customWidth="1"/>
    <col min="2049" max="2049" width="23.6640625" bestFit="1" customWidth="1"/>
    <col min="2050" max="2050" width="12.5546875" bestFit="1" customWidth="1"/>
    <col min="2305" max="2305" width="23.6640625" bestFit="1" customWidth="1"/>
    <col min="2306" max="2306" width="12.5546875" bestFit="1" customWidth="1"/>
    <col min="2561" max="2561" width="23.6640625" bestFit="1" customWidth="1"/>
    <col min="2562" max="2562" width="12.5546875" bestFit="1" customWidth="1"/>
    <col min="2817" max="2817" width="23.6640625" bestFit="1" customWidth="1"/>
    <col min="2818" max="2818" width="12.5546875" bestFit="1" customWidth="1"/>
    <col min="3073" max="3073" width="23.6640625" bestFit="1" customWidth="1"/>
    <col min="3074" max="3074" width="12.5546875" bestFit="1" customWidth="1"/>
    <col min="3329" max="3329" width="23.6640625" bestFit="1" customWidth="1"/>
    <col min="3330" max="3330" width="12.5546875" bestFit="1" customWidth="1"/>
    <col min="3585" max="3585" width="23.6640625" bestFit="1" customWidth="1"/>
    <col min="3586" max="3586" width="12.5546875" bestFit="1" customWidth="1"/>
    <col min="3841" max="3841" width="23.6640625" bestFit="1" customWidth="1"/>
    <col min="3842" max="3842" width="12.5546875" bestFit="1" customWidth="1"/>
    <col min="4097" max="4097" width="23.6640625" bestFit="1" customWidth="1"/>
    <col min="4098" max="4098" width="12.5546875" bestFit="1" customWidth="1"/>
    <col min="4353" max="4353" width="23.6640625" bestFit="1" customWidth="1"/>
    <col min="4354" max="4354" width="12.5546875" bestFit="1" customWidth="1"/>
    <col min="4609" max="4609" width="23.6640625" bestFit="1" customWidth="1"/>
    <col min="4610" max="4610" width="12.5546875" bestFit="1" customWidth="1"/>
    <col min="4865" max="4865" width="23.6640625" bestFit="1" customWidth="1"/>
    <col min="4866" max="4866" width="12.5546875" bestFit="1" customWidth="1"/>
    <col min="5121" max="5121" width="23.6640625" bestFit="1" customWidth="1"/>
    <col min="5122" max="5122" width="12.5546875" bestFit="1" customWidth="1"/>
    <col min="5377" max="5377" width="23.6640625" bestFit="1" customWidth="1"/>
    <col min="5378" max="5378" width="12.5546875" bestFit="1" customWidth="1"/>
    <col min="5633" max="5633" width="23.6640625" bestFit="1" customWidth="1"/>
    <col min="5634" max="5634" width="12.5546875" bestFit="1" customWidth="1"/>
    <col min="5889" max="5889" width="23.6640625" bestFit="1" customWidth="1"/>
    <col min="5890" max="5890" width="12.5546875" bestFit="1" customWidth="1"/>
    <col min="6145" max="6145" width="23.6640625" bestFit="1" customWidth="1"/>
    <col min="6146" max="6146" width="12.5546875" bestFit="1" customWidth="1"/>
    <col min="6401" max="6401" width="23.6640625" bestFit="1" customWidth="1"/>
    <col min="6402" max="6402" width="12.5546875" bestFit="1" customWidth="1"/>
    <col min="6657" max="6657" width="23.6640625" bestFit="1" customWidth="1"/>
    <col min="6658" max="6658" width="12.5546875" bestFit="1" customWidth="1"/>
    <col min="6913" max="6913" width="23.6640625" bestFit="1" customWidth="1"/>
    <col min="6914" max="6914" width="12.5546875" bestFit="1" customWidth="1"/>
    <col min="7169" max="7169" width="23.6640625" bestFit="1" customWidth="1"/>
    <col min="7170" max="7170" width="12.5546875" bestFit="1" customWidth="1"/>
    <col min="7425" max="7425" width="23.6640625" bestFit="1" customWidth="1"/>
    <col min="7426" max="7426" width="12.5546875" bestFit="1" customWidth="1"/>
    <col min="7681" max="7681" width="23.6640625" bestFit="1" customWidth="1"/>
    <col min="7682" max="7682" width="12.5546875" bestFit="1" customWidth="1"/>
    <col min="7937" max="7937" width="23.6640625" bestFit="1" customWidth="1"/>
    <col min="7938" max="7938" width="12.5546875" bestFit="1" customWidth="1"/>
    <col min="8193" max="8193" width="23.6640625" bestFit="1" customWidth="1"/>
    <col min="8194" max="8194" width="12.5546875" bestFit="1" customWidth="1"/>
    <col min="8449" max="8449" width="23.6640625" bestFit="1" customWidth="1"/>
    <col min="8450" max="8450" width="12.5546875" bestFit="1" customWidth="1"/>
    <col min="8705" max="8705" width="23.6640625" bestFit="1" customWidth="1"/>
    <col min="8706" max="8706" width="12.5546875" bestFit="1" customWidth="1"/>
    <col min="8961" max="8961" width="23.6640625" bestFit="1" customWidth="1"/>
    <col min="8962" max="8962" width="12.5546875" bestFit="1" customWidth="1"/>
    <col min="9217" max="9217" width="23.6640625" bestFit="1" customWidth="1"/>
    <col min="9218" max="9218" width="12.5546875" bestFit="1" customWidth="1"/>
    <col min="9473" max="9473" width="23.6640625" bestFit="1" customWidth="1"/>
    <col min="9474" max="9474" width="12.5546875" bestFit="1" customWidth="1"/>
    <col min="9729" max="9729" width="23.6640625" bestFit="1" customWidth="1"/>
    <col min="9730" max="9730" width="12.5546875" bestFit="1" customWidth="1"/>
    <col min="9985" max="9985" width="23.6640625" bestFit="1" customWidth="1"/>
    <col min="9986" max="9986" width="12.5546875" bestFit="1" customWidth="1"/>
    <col min="10241" max="10241" width="23.6640625" bestFit="1" customWidth="1"/>
    <col min="10242" max="10242" width="12.5546875" bestFit="1" customWidth="1"/>
    <col min="10497" max="10497" width="23.6640625" bestFit="1" customWidth="1"/>
    <col min="10498" max="10498" width="12.5546875" bestFit="1" customWidth="1"/>
    <col min="10753" max="10753" width="23.6640625" bestFit="1" customWidth="1"/>
    <col min="10754" max="10754" width="12.5546875" bestFit="1" customWidth="1"/>
    <col min="11009" max="11009" width="23.6640625" bestFit="1" customWidth="1"/>
    <col min="11010" max="11010" width="12.5546875" bestFit="1" customWidth="1"/>
    <col min="11265" max="11265" width="23.6640625" bestFit="1" customWidth="1"/>
    <col min="11266" max="11266" width="12.5546875" bestFit="1" customWidth="1"/>
    <col min="11521" max="11521" width="23.6640625" bestFit="1" customWidth="1"/>
    <col min="11522" max="11522" width="12.5546875" bestFit="1" customWidth="1"/>
    <col min="11777" max="11777" width="23.6640625" bestFit="1" customWidth="1"/>
    <col min="11778" max="11778" width="12.5546875" bestFit="1" customWidth="1"/>
    <col min="12033" max="12033" width="23.6640625" bestFit="1" customWidth="1"/>
    <col min="12034" max="12034" width="12.5546875" bestFit="1" customWidth="1"/>
    <col min="12289" max="12289" width="23.6640625" bestFit="1" customWidth="1"/>
    <col min="12290" max="12290" width="12.5546875" bestFit="1" customWidth="1"/>
    <col min="12545" max="12545" width="23.6640625" bestFit="1" customWidth="1"/>
    <col min="12546" max="12546" width="12.5546875" bestFit="1" customWidth="1"/>
    <col min="12801" max="12801" width="23.6640625" bestFit="1" customWidth="1"/>
    <col min="12802" max="12802" width="12.5546875" bestFit="1" customWidth="1"/>
    <col min="13057" max="13057" width="23.6640625" bestFit="1" customWidth="1"/>
    <col min="13058" max="13058" width="12.5546875" bestFit="1" customWidth="1"/>
    <col min="13313" max="13313" width="23.6640625" bestFit="1" customWidth="1"/>
    <col min="13314" max="13314" width="12.5546875" bestFit="1" customWidth="1"/>
    <col min="13569" max="13569" width="23.6640625" bestFit="1" customWidth="1"/>
    <col min="13570" max="13570" width="12.5546875" bestFit="1" customWidth="1"/>
    <col min="13825" max="13825" width="23.6640625" bestFit="1" customWidth="1"/>
    <col min="13826" max="13826" width="12.5546875" bestFit="1" customWidth="1"/>
    <col min="14081" max="14081" width="23.6640625" bestFit="1" customWidth="1"/>
    <col min="14082" max="14082" width="12.5546875" bestFit="1" customWidth="1"/>
    <col min="14337" max="14337" width="23.6640625" bestFit="1" customWidth="1"/>
    <col min="14338" max="14338" width="12.5546875" bestFit="1" customWidth="1"/>
    <col min="14593" max="14593" width="23.6640625" bestFit="1" customWidth="1"/>
    <col min="14594" max="14594" width="12.5546875" bestFit="1" customWidth="1"/>
    <col min="14849" max="14849" width="23.6640625" bestFit="1" customWidth="1"/>
    <col min="14850" max="14850" width="12.5546875" bestFit="1" customWidth="1"/>
    <col min="15105" max="15105" width="23.6640625" bestFit="1" customWidth="1"/>
    <col min="15106" max="15106" width="12.5546875" bestFit="1" customWidth="1"/>
    <col min="15361" max="15361" width="23.6640625" bestFit="1" customWidth="1"/>
    <col min="15362" max="15362" width="12.5546875" bestFit="1" customWidth="1"/>
    <col min="15617" max="15617" width="23.6640625" bestFit="1" customWidth="1"/>
    <col min="15618" max="15618" width="12.5546875" bestFit="1" customWidth="1"/>
    <col min="15873" max="15873" width="23.6640625" bestFit="1" customWidth="1"/>
    <col min="15874" max="15874" width="12.5546875" bestFit="1" customWidth="1"/>
    <col min="16129" max="16129" width="23.6640625" bestFit="1" customWidth="1"/>
    <col min="16130" max="16130" width="12.5546875" bestFit="1" customWidth="1"/>
  </cols>
  <sheetData>
    <row r="1" spans="1:7" ht="43.2" x14ac:dyDescent="0.3">
      <c r="A1" s="173" t="str">
        <f>"If a new machine will yield a net cash flow of "&amp;DOLLAR(B2)&amp;" per month for the next "&amp;B5&amp;" years and your discount rate is "&amp;TEXT(B3,"0.00%")&amp;" compounded "&amp;B4&amp;" times a year, what is the maximum amount that you should pay for the machine?"</f>
        <v>If a new machine will yield a net cash flow of $10,000.00 per month for the next 5 years and your discount rate is 15.00% compounded 12 times a year, what is the maximum amount that you should pay for the machine?</v>
      </c>
      <c r="B1" s="144"/>
      <c r="C1" s="144"/>
      <c r="D1" s="144"/>
      <c r="E1" s="144"/>
      <c r="F1" s="141"/>
    </row>
    <row r="2" spans="1:7" x14ac:dyDescent="0.3">
      <c r="A2" s="49" t="s">
        <v>97</v>
      </c>
      <c r="B2" s="76">
        <v>10000</v>
      </c>
    </row>
    <row r="3" spans="1:7" x14ac:dyDescent="0.3">
      <c r="A3" s="1" t="s">
        <v>111</v>
      </c>
      <c r="B3" s="77">
        <v>0.15</v>
      </c>
    </row>
    <row r="4" spans="1:7" x14ac:dyDescent="0.3">
      <c r="A4" s="1" t="s">
        <v>39</v>
      </c>
      <c r="B4" s="1">
        <v>12</v>
      </c>
      <c r="D4" s="1" t="s">
        <v>207</v>
      </c>
      <c r="F4" s="1" t="s">
        <v>207</v>
      </c>
    </row>
    <row r="5" spans="1:7" x14ac:dyDescent="0.3">
      <c r="A5" s="1" t="s">
        <v>77</v>
      </c>
      <c r="B5" s="1">
        <v>5</v>
      </c>
      <c r="D5" s="1">
        <v>-400000</v>
      </c>
      <c r="F5" s="1">
        <v>-450000</v>
      </c>
    </row>
    <row r="6" spans="1:7" x14ac:dyDescent="0.3">
      <c r="A6" s="1" t="s">
        <v>102</v>
      </c>
      <c r="B6" s="30">
        <f>PV(B3/B4,B4*B5,B2)</f>
        <v>-420345.9179450908</v>
      </c>
      <c r="D6" s="1" t="s">
        <v>294</v>
      </c>
      <c r="F6" s="1" t="s">
        <v>295</v>
      </c>
    </row>
    <row r="7" spans="1:7" x14ac:dyDescent="0.3">
      <c r="A7" s="1" t="s">
        <v>102</v>
      </c>
      <c r="B7" s="30">
        <f>PV(B3/B4,B4*B5,B2)</f>
        <v>-420345.9179450908</v>
      </c>
    </row>
    <row r="8" spans="1:7" ht="57.6" x14ac:dyDescent="0.3">
      <c r="A8" s="1" t="s">
        <v>82</v>
      </c>
      <c r="B8" s="58" t="str">
        <f>IF(B7="","","If a new machine will yield a net cash flow of "&amp;DOLLAR(B2)&amp;" per month for the next "&amp;B5&amp;" years and your discount rate is "&amp;TEXT(B3,"0.00%")&amp;" compounded "&amp;B4&amp;" times a year, the the maximum amount that you should pay for the machine is "&amp;DOLLAR(-B7)&amp;".")</f>
        <v>If a new machine will yield a net cash flow of $10,000.00 per month for the next 5 years and your discount rate is 15.00% compounded 12 times a year, the the maximum amount that you should pay for the machine is $420,345.92.</v>
      </c>
      <c r="C8" s="59"/>
      <c r="D8" s="59"/>
      <c r="E8" s="59"/>
      <c r="F8" s="59"/>
      <c r="G8" s="60"/>
    </row>
    <row r="11" spans="1:7" x14ac:dyDescent="0.3">
      <c r="A11" t="s">
        <v>292</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
  <sheetViews>
    <sheetView zoomScale="160" zoomScaleNormal="160" workbookViewId="0">
      <selection activeCell="I3" sqref="I3"/>
    </sheetView>
  </sheetViews>
  <sheetFormatPr defaultRowHeight="14.4" x14ac:dyDescent="0.3"/>
  <cols>
    <col min="1" max="1" width="10.5546875" bestFit="1" customWidth="1"/>
  </cols>
  <sheetData>
    <row r="3" spans="1:9" x14ac:dyDescent="0.3">
      <c r="A3" s="134" t="s">
        <v>14</v>
      </c>
      <c r="B3" s="134" t="s">
        <v>15</v>
      </c>
      <c r="C3" s="134" t="s">
        <v>16</v>
      </c>
      <c r="D3" s="134" t="s">
        <v>17</v>
      </c>
      <c r="E3" s="134" t="s">
        <v>18</v>
      </c>
      <c r="F3" s="134" t="s">
        <v>19</v>
      </c>
      <c r="G3" s="134" t="s">
        <v>20</v>
      </c>
      <c r="H3" s="134" t="s">
        <v>291</v>
      </c>
      <c r="I3" s="134" t="s">
        <v>296</v>
      </c>
    </row>
    <row r="4" spans="1:9" x14ac:dyDescent="0.3">
      <c r="A4" s="174" t="s">
        <v>298</v>
      </c>
      <c r="B4" s="174" t="s">
        <v>297</v>
      </c>
      <c r="C4" s="174" t="s">
        <v>297</v>
      </c>
      <c r="D4" s="174" t="s">
        <v>297</v>
      </c>
      <c r="E4" s="174" t="s">
        <v>297</v>
      </c>
      <c r="F4" s="174" t="s">
        <v>297</v>
      </c>
      <c r="G4" s="174" t="s">
        <v>297</v>
      </c>
      <c r="H4" s="174" t="s">
        <v>291</v>
      </c>
      <c r="I4" s="174" t="s">
        <v>297</v>
      </c>
    </row>
    <row r="5" spans="1:9" x14ac:dyDescent="0.3">
      <c r="A5" s="21">
        <v>300000</v>
      </c>
      <c r="B5" s="1" t="s">
        <v>299</v>
      </c>
      <c r="C5" s="1" t="s">
        <v>299</v>
      </c>
      <c r="D5" s="1" t="s">
        <v>299</v>
      </c>
      <c r="E5" s="1" t="s">
        <v>299</v>
      </c>
      <c r="F5" s="1" t="s">
        <v>299</v>
      </c>
      <c r="G5" s="1" t="s">
        <v>299</v>
      </c>
      <c r="H5" s="1" t="s">
        <v>291</v>
      </c>
      <c r="I5" s="1" t="s">
        <v>299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8"/>
  <sheetViews>
    <sheetView zoomScale="175" zoomScaleNormal="175" workbookViewId="0">
      <selection activeCell="B6" sqref="B6"/>
    </sheetView>
  </sheetViews>
  <sheetFormatPr defaultRowHeight="14.4" x14ac:dyDescent="0.3"/>
  <cols>
    <col min="2" max="2" width="11.5546875" bestFit="1" customWidth="1"/>
    <col min="258" max="258" width="11.5546875" bestFit="1" customWidth="1"/>
    <col min="514" max="514" width="11.5546875" bestFit="1" customWidth="1"/>
    <col min="770" max="770" width="11.5546875" bestFit="1" customWidth="1"/>
    <col min="1026" max="1026" width="11.5546875" bestFit="1" customWidth="1"/>
    <col min="1282" max="1282" width="11.5546875" bestFit="1" customWidth="1"/>
    <col min="1538" max="1538" width="11.5546875" bestFit="1" customWidth="1"/>
    <col min="1794" max="1794" width="11.5546875" bestFit="1" customWidth="1"/>
    <col min="2050" max="2050" width="11.5546875" bestFit="1" customWidth="1"/>
    <col min="2306" max="2306" width="11.5546875" bestFit="1" customWidth="1"/>
    <col min="2562" max="2562" width="11.5546875" bestFit="1" customWidth="1"/>
    <col min="2818" max="2818" width="11.5546875" bestFit="1" customWidth="1"/>
    <col min="3074" max="3074" width="11.5546875" bestFit="1" customWidth="1"/>
    <col min="3330" max="3330" width="11.5546875" bestFit="1" customWidth="1"/>
    <col min="3586" max="3586" width="11.5546875" bestFit="1" customWidth="1"/>
    <col min="3842" max="3842" width="11.5546875" bestFit="1" customWidth="1"/>
    <col min="4098" max="4098" width="11.5546875" bestFit="1" customWidth="1"/>
    <col min="4354" max="4354" width="11.5546875" bestFit="1" customWidth="1"/>
    <col min="4610" max="4610" width="11.5546875" bestFit="1" customWidth="1"/>
    <col min="4866" max="4866" width="11.5546875" bestFit="1" customWidth="1"/>
    <col min="5122" max="5122" width="11.5546875" bestFit="1" customWidth="1"/>
    <col min="5378" max="5378" width="11.5546875" bestFit="1" customWidth="1"/>
    <col min="5634" max="5634" width="11.5546875" bestFit="1" customWidth="1"/>
    <col min="5890" max="5890" width="11.5546875" bestFit="1" customWidth="1"/>
    <col min="6146" max="6146" width="11.5546875" bestFit="1" customWidth="1"/>
    <col min="6402" max="6402" width="11.5546875" bestFit="1" customWidth="1"/>
    <col min="6658" max="6658" width="11.5546875" bestFit="1" customWidth="1"/>
    <col min="6914" max="6914" width="11.5546875" bestFit="1" customWidth="1"/>
    <col min="7170" max="7170" width="11.5546875" bestFit="1" customWidth="1"/>
    <col min="7426" max="7426" width="11.5546875" bestFit="1" customWidth="1"/>
    <col min="7682" max="7682" width="11.5546875" bestFit="1" customWidth="1"/>
    <col min="7938" max="7938" width="11.5546875" bestFit="1" customWidth="1"/>
    <col min="8194" max="8194" width="11.5546875" bestFit="1" customWidth="1"/>
    <col min="8450" max="8450" width="11.5546875" bestFit="1" customWidth="1"/>
    <col min="8706" max="8706" width="11.5546875" bestFit="1" customWidth="1"/>
    <col min="8962" max="8962" width="11.5546875" bestFit="1" customWidth="1"/>
    <col min="9218" max="9218" width="11.5546875" bestFit="1" customWidth="1"/>
    <col min="9474" max="9474" width="11.5546875" bestFit="1" customWidth="1"/>
    <col min="9730" max="9730" width="11.5546875" bestFit="1" customWidth="1"/>
    <col min="9986" max="9986" width="11.5546875" bestFit="1" customWidth="1"/>
    <col min="10242" max="10242" width="11.5546875" bestFit="1" customWidth="1"/>
    <col min="10498" max="10498" width="11.5546875" bestFit="1" customWidth="1"/>
    <col min="10754" max="10754" width="11.5546875" bestFit="1" customWidth="1"/>
    <col min="11010" max="11010" width="11.5546875" bestFit="1" customWidth="1"/>
    <col min="11266" max="11266" width="11.5546875" bestFit="1" customWidth="1"/>
    <col min="11522" max="11522" width="11.5546875" bestFit="1" customWidth="1"/>
    <col min="11778" max="11778" width="11.5546875" bestFit="1" customWidth="1"/>
    <col min="12034" max="12034" width="11.5546875" bestFit="1" customWidth="1"/>
    <col min="12290" max="12290" width="11.5546875" bestFit="1" customWidth="1"/>
    <col min="12546" max="12546" width="11.5546875" bestFit="1" customWidth="1"/>
    <col min="12802" max="12802" width="11.5546875" bestFit="1" customWidth="1"/>
    <col min="13058" max="13058" width="11.5546875" bestFit="1" customWidth="1"/>
    <col min="13314" max="13314" width="11.5546875" bestFit="1" customWidth="1"/>
    <col min="13570" max="13570" width="11.5546875" bestFit="1" customWidth="1"/>
    <col min="13826" max="13826" width="11.5546875" bestFit="1" customWidth="1"/>
    <col min="14082" max="14082" width="11.5546875" bestFit="1" customWidth="1"/>
    <col min="14338" max="14338" width="11.5546875" bestFit="1" customWidth="1"/>
    <col min="14594" max="14594" width="11.5546875" bestFit="1" customWidth="1"/>
    <col min="14850" max="14850" width="11.5546875" bestFit="1" customWidth="1"/>
    <col min="15106" max="15106" width="11.5546875" bestFit="1" customWidth="1"/>
    <col min="15362" max="15362" width="11.5546875" bestFit="1" customWidth="1"/>
    <col min="15618" max="15618" width="11.5546875" bestFit="1" customWidth="1"/>
    <col min="15874" max="15874" width="11.5546875" bestFit="1" customWidth="1"/>
    <col min="16130" max="16130" width="11.5546875" bestFit="1" customWidth="1"/>
  </cols>
  <sheetData>
    <row r="1" spans="1:5" ht="28.95" x14ac:dyDescent="0.3">
      <c r="A1" s="75" t="s">
        <v>112</v>
      </c>
      <c r="B1" s="62"/>
      <c r="C1" s="62"/>
      <c r="D1" s="55"/>
    </row>
    <row r="2" spans="1:5" x14ac:dyDescent="0.3">
      <c r="A2" s="49" t="s">
        <v>102</v>
      </c>
      <c r="B2" s="76">
        <v>300000</v>
      </c>
    </row>
    <row r="3" spans="1:5" x14ac:dyDescent="0.3">
      <c r="A3" s="1" t="s">
        <v>113</v>
      </c>
      <c r="B3" s="45">
        <v>6.5000000000000002E-2</v>
      </c>
    </row>
    <row r="4" spans="1:5" x14ac:dyDescent="0.3">
      <c r="A4" s="1" t="s">
        <v>114</v>
      </c>
      <c r="B4" s="1">
        <v>12</v>
      </c>
    </row>
    <row r="5" spans="1:5" x14ac:dyDescent="0.3">
      <c r="A5" s="1" t="s">
        <v>77</v>
      </c>
      <c r="B5" s="1">
        <v>30</v>
      </c>
    </row>
    <row r="6" spans="1:5" x14ac:dyDescent="0.3">
      <c r="A6" s="1" t="s">
        <v>97</v>
      </c>
      <c r="B6" s="72"/>
    </row>
    <row r="7" spans="1:5" x14ac:dyDescent="0.3">
      <c r="A7" s="1" t="s">
        <v>97</v>
      </c>
      <c r="B7" s="72"/>
    </row>
    <row r="8" spans="1:5" ht="43.2" x14ac:dyDescent="0.3">
      <c r="A8" s="78" t="s">
        <v>82</v>
      </c>
      <c r="B8" s="58" t="str">
        <f>IF(B7="","","At and APR of "&amp;TEXT(B3,"0.00%")&amp;" compounded "&amp;B4&amp;" times a year for "&amp;B5&amp;" years, the monthly PMT is "&amp;DOLLAR(B7)&amp;".")</f>
        <v/>
      </c>
      <c r="C8" s="59"/>
      <c r="D8" s="59"/>
      <c r="E8" s="60"/>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
  <sheetViews>
    <sheetView zoomScale="160" zoomScaleNormal="160" workbookViewId="0">
      <selection activeCell="B6" sqref="B6"/>
    </sheetView>
  </sheetViews>
  <sheetFormatPr defaultRowHeight="14.4" x14ac:dyDescent="0.3"/>
  <cols>
    <col min="2" max="2" width="11.5546875" bestFit="1" customWidth="1"/>
    <col min="258" max="258" width="11.5546875" bestFit="1" customWidth="1"/>
    <col min="514" max="514" width="11.5546875" bestFit="1" customWidth="1"/>
    <col min="770" max="770" width="11.5546875" bestFit="1" customWidth="1"/>
    <col min="1026" max="1026" width="11.5546875" bestFit="1" customWidth="1"/>
    <col min="1282" max="1282" width="11.5546875" bestFit="1" customWidth="1"/>
    <col min="1538" max="1538" width="11.5546875" bestFit="1" customWidth="1"/>
    <col min="1794" max="1794" width="11.5546875" bestFit="1" customWidth="1"/>
    <col min="2050" max="2050" width="11.5546875" bestFit="1" customWidth="1"/>
    <col min="2306" max="2306" width="11.5546875" bestFit="1" customWidth="1"/>
    <col min="2562" max="2562" width="11.5546875" bestFit="1" customWidth="1"/>
    <col min="2818" max="2818" width="11.5546875" bestFit="1" customWidth="1"/>
    <col min="3074" max="3074" width="11.5546875" bestFit="1" customWidth="1"/>
    <col min="3330" max="3330" width="11.5546875" bestFit="1" customWidth="1"/>
    <col min="3586" max="3586" width="11.5546875" bestFit="1" customWidth="1"/>
    <col min="3842" max="3842" width="11.5546875" bestFit="1" customWidth="1"/>
    <col min="4098" max="4098" width="11.5546875" bestFit="1" customWidth="1"/>
    <col min="4354" max="4354" width="11.5546875" bestFit="1" customWidth="1"/>
    <col min="4610" max="4610" width="11.5546875" bestFit="1" customWidth="1"/>
    <col min="4866" max="4866" width="11.5546875" bestFit="1" customWidth="1"/>
    <col min="5122" max="5122" width="11.5546875" bestFit="1" customWidth="1"/>
    <col min="5378" max="5378" width="11.5546875" bestFit="1" customWidth="1"/>
    <col min="5634" max="5634" width="11.5546875" bestFit="1" customWidth="1"/>
    <col min="5890" max="5890" width="11.5546875" bestFit="1" customWidth="1"/>
    <col min="6146" max="6146" width="11.5546875" bestFit="1" customWidth="1"/>
    <col min="6402" max="6402" width="11.5546875" bestFit="1" customWidth="1"/>
    <col min="6658" max="6658" width="11.5546875" bestFit="1" customWidth="1"/>
    <col min="6914" max="6914" width="11.5546875" bestFit="1" customWidth="1"/>
    <col min="7170" max="7170" width="11.5546875" bestFit="1" customWidth="1"/>
    <col min="7426" max="7426" width="11.5546875" bestFit="1" customWidth="1"/>
    <col min="7682" max="7682" width="11.5546875" bestFit="1" customWidth="1"/>
    <col min="7938" max="7938" width="11.5546875" bestFit="1" customWidth="1"/>
    <col min="8194" max="8194" width="11.5546875" bestFit="1" customWidth="1"/>
    <col min="8450" max="8450" width="11.5546875" bestFit="1" customWidth="1"/>
    <col min="8706" max="8706" width="11.5546875" bestFit="1" customWidth="1"/>
    <col min="8962" max="8962" width="11.5546875" bestFit="1" customWidth="1"/>
    <col min="9218" max="9218" width="11.5546875" bestFit="1" customWidth="1"/>
    <col min="9474" max="9474" width="11.5546875" bestFit="1" customWidth="1"/>
    <col min="9730" max="9730" width="11.5546875" bestFit="1" customWidth="1"/>
    <col min="9986" max="9986" width="11.5546875" bestFit="1" customWidth="1"/>
    <col min="10242" max="10242" width="11.5546875" bestFit="1" customWidth="1"/>
    <col min="10498" max="10498" width="11.5546875" bestFit="1" customWidth="1"/>
    <col min="10754" max="10754" width="11.5546875" bestFit="1" customWidth="1"/>
    <col min="11010" max="11010" width="11.5546875" bestFit="1" customWidth="1"/>
    <col min="11266" max="11266" width="11.5546875" bestFit="1" customWidth="1"/>
    <col min="11522" max="11522" width="11.5546875" bestFit="1" customWidth="1"/>
    <col min="11778" max="11778" width="11.5546875" bestFit="1" customWidth="1"/>
    <col min="12034" max="12034" width="11.5546875" bestFit="1" customWidth="1"/>
    <col min="12290" max="12290" width="11.5546875" bestFit="1" customWidth="1"/>
    <col min="12546" max="12546" width="11.5546875" bestFit="1" customWidth="1"/>
    <col min="12802" max="12802" width="11.5546875" bestFit="1" customWidth="1"/>
    <col min="13058" max="13058" width="11.5546875" bestFit="1" customWidth="1"/>
    <col min="13314" max="13314" width="11.5546875" bestFit="1" customWidth="1"/>
    <col min="13570" max="13570" width="11.5546875" bestFit="1" customWidth="1"/>
    <col min="13826" max="13826" width="11.5546875" bestFit="1" customWidth="1"/>
    <col min="14082" max="14082" width="11.5546875" bestFit="1" customWidth="1"/>
    <col min="14338" max="14338" width="11.5546875" bestFit="1" customWidth="1"/>
    <col min="14594" max="14594" width="11.5546875" bestFit="1" customWidth="1"/>
    <col min="14850" max="14850" width="11.5546875" bestFit="1" customWidth="1"/>
    <col min="15106" max="15106" width="11.5546875" bestFit="1" customWidth="1"/>
    <col min="15362" max="15362" width="11.5546875" bestFit="1" customWidth="1"/>
    <col min="15618" max="15618" width="11.5546875" bestFit="1" customWidth="1"/>
    <col min="15874" max="15874" width="11.5546875" bestFit="1" customWidth="1"/>
    <col min="16130" max="16130" width="11.5546875" bestFit="1" customWidth="1"/>
  </cols>
  <sheetData>
    <row r="1" spans="1:5" ht="28.95" x14ac:dyDescent="0.3">
      <c r="A1" s="75" t="s">
        <v>112</v>
      </c>
      <c r="B1" s="62"/>
      <c r="C1" s="62"/>
      <c r="D1" s="55"/>
    </row>
    <row r="2" spans="1:5" x14ac:dyDescent="0.3">
      <c r="A2" s="49" t="s">
        <v>102</v>
      </c>
      <c r="B2" s="76">
        <v>300000</v>
      </c>
    </row>
    <row r="3" spans="1:5" x14ac:dyDescent="0.3">
      <c r="A3" s="1" t="s">
        <v>113</v>
      </c>
      <c r="B3" s="45">
        <v>6.5000000000000002E-2</v>
      </c>
    </row>
    <row r="4" spans="1:5" x14ac:dyDescent="0.3">
      <c r="A4" s="1" t="s">
        <v>114</v>
      </c>
      <c r="B4" s="1">
        <v>12</v>
      </c>
    </row>
    <row r="5" spans="1:5" x14ac:dyDescent="0.3">
      <c r="A5" s="1" t="s">
        <v>77</v>
      </c>
      <c r="B5" s="1">
        <v>30</v>
      </c>
    </row>
    <row r="6" spans="1:5" x14ac:dyDescent="0.3">
      <c r="A6" s="1" t="s">
        <v>97</v>
      </c>
      <c r="B6" s="71">
        <f>B2/((1-(1+B3/B4)^-(B4*B5))/(B3/B4))</f>
        <v>1896.2040704788981</v>
      </c>
    </row>
    <row r="7" spans="1:5" x14ac:dyDescent="0.3">
      <c r="A7" s="1" t="s">
        <v>97</v>
      </c>
      <c r="B7" s="72">
        <f>PMT(B3/B4,B4*B5,B2)</f>
        <v>-1896.2040704788913</v>
      </c>
    </row>
    <row r="8" spans="1:5" ht="43.2" x14ac:dyDescent="0.3">
      <c r="A8" s="78" t="s">
        <v>82</v>
      </c>
      <c r="B8" s="58" t="str">
        <f>IF(B7="","","At and APR of "&amp;TEXT(B3,"0.00%")&amp;" compounded "&amp;B4&amp;" times a year for "&amp;B5&amp;" years, the monthly PMT is "&amp;DOLLAR(B7)&amp;".")</f>
        <v>At and APR of 6.50% compounded 12 times a year for 30 years, the monthly PMT is ($1,896.20).</v>
      </c>
      <c r="C8" s="59"/>
      <c r="D8" s="59"/>
      <c r="E8" s="60"/>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46"/>
  <sheetViews>
    <sheetView topLeftCell="A7" zoomScale="115" zoomScaleNormal="115" workbookViewId="0">
      <selection activeCell="C12" sqref="C12"/>
    </sheetView>
  </sheetViews>
  <sheetFormatPr defaultRowHeight="13.2" x14ac:dyDescent="0.25"/>
  <cols>
    <col min="1" max="1" width="2.5546875" style="152" bestFit="1" customWidth="1"/>
    <col min="2" max="2" width="19" style="152" bestFit="1" customWidth="1"/>
    <col min="3" max="3" width="16.5546875" style="152" customWidth="1"/>
    <col min="4" max="4" width="20.44140625" style="152" customWidth="1"/>
    <col min="5" max="5" width="10.5546875" style="152" bestFit="1" customWidth="1"/>
    <col min="6" max="6" width="3.5546875" style="152" customWidth="1"/>
    <col min="7" max="256" width="8.88671875" style="152"/>
    <col min="257" max="257" width="2.5546875" style="152" bestFit="1" customWidth="1"/>
    <col min="258" max="258" width="16.6640625" style="152" customWidth="1"/>
    <col min="259" max="259" width="16.5546875" style="152" customWidth="1"/>
    <col min="260" max="260" width="20.44140625" style="152" customWidth="1"/>
    <col min="261" max="261" width="10.5546875" style="152" bestFit="1" customWidth="1"/>
    <col min="262" max="262" width="3.5546875" style="152" customWidth="1"/>
    <col min="263" max="512" width="8.88671875" style="152"/>
    <col min="513" max="513" width="2.5546875" style="152" bestFit="1" customWidth="1"/>
    <col min="514" max="514" width="16.6640625" style="152" customWidth="1"/>
    <col min="515" max="515" width="16.5546875" style="152" customWidth="1"/>
    <col min="516" max="516" width="20.44140625" style="152" customWidth="1"/>
    <col min="517" max="517" width="10.5546875" style="152" bestFit="1" customWidth="1"/>
    <col min="518" max="518" width="3.5546875" style="152" customWidth="1"/>
    <col min="519" max="768" width="8.88671875" style="152"/>
    <col min="769" max="769" width="2.5546875" style="152" bestFit="1" customWidth="1"/>
    <col min="770" max="770" width="16.6640625" style="152" customWidth="1"/>
    <col min="771" max="771" width="16.5546875" style="152" customWidth="1"/>
    <col min="772" max="772" width="20.44140625" style="152" customWidth="1"/>
    <col min="773" max="773" width="10.5546875" style="152" bestFit="1" customWidth="1"/>
    <col min="774" max="774" width="3.5546875" style="152" customWidth="1"/>
    <col min="775" max="1024" width="8.88671875" style="152"/>
    <col min="1025" max="1025" width="2.5546875" style="152" bestFit="1" customWidth="1"/>
    <col min="1026" max="1026" width="16.6640625" style="152" customWidth="1"/>
    <col min="1027" max="1027" width="16.5546875" style="152" customWidth="1"/>
    <col min="1028" max="1028" width="20.44140625" style="152" customWidth="1"/>
    <col min="1029" max="1029" width="10.5546875" style="152" bestFit="1" customWidth="1"/>
    <col min="1030" max="1030" width="3.5546875" style="152" customWidth="1"/>
    <col min="1031" max="1280" width="8.88671875" style="152"/>
    <col min="1281" max="1281" width="2.5546875" style="152" bestFit="1" customWidth="1"/>
    <col min="1282" max="1282" width="16.6640625" style="152" customWidth="1"/>
    <col min="1283" max="1283" width="16.5546875" style="152" customWidth="1"/>
    <col min="1284" max="1284" width="20.44140625" style="152" customWidth="1"/>
    <col min="1285" max="1285" width="10.5546875" style="152" bestFit="1" customWidth="1"/>
    <col min="1286" max="1286" width="3.5546875" style="152" customWidth="1"/>
    <col min="1287" max="1536" width="8.88671875" style="152"/>
    <col min="1537" max="1537" width="2.5546875" style="152" bestFit="1" customWidth="1"/>
    <col min="1538" max="1538" width="16.6640625" style="152" customWidth="1"/>
    <col min="1539" max="1539" width="16.5546875" style="152" customWidth="1"/>
    <col min="1540" max="1540" width="20.44140625" style="152" customWidth="1"/>
    <col min="1541" max="1541" width="10.5546875" style="152" bestFit="1" customWidth="1"/>
    <col min="1542" max="1542" width="3.5546875" style="152" customWidth="1"/>
    <col min="1543" max="1792" width="8.88671875" style="152"/>
    <col min="1793" max="1793" width="2.5546875" style="152" bestFit="1" customWidth="1"/>
    <col min="1794" max="1794" width="16.6640625" style="152" customWidth="1"/>
    <col min="1795" max="1795" width="16.5546875" style="152" customWidth="1"/>
    <col min="1796" max="1796" width="20.44140625" style="152" customWidth="1"/>
    <col min="1797" max="1797" width="10.5546875" style="152" bestFit="1" customWidth="1"/>
    <col min="1798" max="1798" width="3.5546875" style="152" customWidth="1"/>
    <col min="1799" max="2048" width="8.88671875" style="152"/>
    <col min="2049" max="2049" width="2.5546875" style="152" bestFit="1" customWidth="1"/>
    <col min="2050" max="2050" width="16.6640625" style="152" customWidth="1"/>
    <col min="2051" max="2051" width="16.5546875" style="152" customWidth="1"/>
    <col min="2052" max="2052" width="20.44140625" style="152" customWidth="1"/>
    <col min="2053" max="2053" width="10.5546875" style="152" bestFit="1" customWidth="1"/>
    <col min="2054" max="2054" width="3.5546875" style="152" customWidth="1"/>
    <col min="2055" max="2304" width="8.88671875" style="152"/>
    <col min="2305" max="2305" width="2.5546875" style="152" bestFit="1" customWidth="1"/>
    <col min="2306" max="2306" width="16.6640625" style="152" customWidth="1"/>
    <col min="2307" max="2307" width="16.5546875" style="152" customWidth="1"/>
    <col min="2308" max="2308" width="20.44140625" style="152" customWidth="1"/>
    <col min="2309" max="2309" width="10.5546875" style="152" bestFit="1" customWidth="1"/>
    <col min="2310" max="2310" width="3.5546875" style="152" customWidth="1"/>
    <col min="2311" max="2560" width="8.88671875" style="152"/>
    <col min="2561" max="2561" width="2.5546875" style="152" bestFit="1" customWidth="1"/>
    <col min="2562" max="2562" width="16.6640625" style="152" customWidth="1"/>
    <col min="2563" max="2563" width="16.5546875" style="152" customWidth="1"/>
    <col min="2564" max="2564" width="20.44140625" style="152" customWidth="1"/>
    <col min="2565" max="2565" width="10.5546875" style="152" bestFit="1" customWidth="1"/>
    <col min="2566" max="2566" width="3.5546875" style="152" customWidth="1"/>
    <col min="2567" max="2816" width="8.88671875" style="152"/>
    <col min="2817" max="2817" width="2.5546875" style="152" bestFit="1" customWidth="1"/>
    <col min="2818" max="2818" width="16.6640625" style="152" customWidth="1"/>
    <col min="2819" max="2819" width="16.5546875" style="152" customWidth="1"/>
    <col min="2820" max="2820" width="20.44140625" style="152" customWidth="1"/>
    <col min="2821" max="2821" width="10.5546875" style="152" bestFit="1" customWidth="1"/>
    <col min="2822" max="2822" width="3.5546875" style="152" customWidth="1"/>
    <col min="2823" max="3072" width="8.88671875" style="152"/>
    <col min="3073" max="3073" width="2.5546875" style="152" bestFit="1" customWidth="1"/>
    <col min="3074" max="3074" width="16.6640625" style="152" customWidth="1"/>
    <col min="3075" max="3075" width="16.5546875" style="152" customWidth="1"/>
    <col min="3076" max="3076" width="20.44140625" style="152" customWidth="1"/>
    <col min="3077" max="3077" width="10.5546875" style="152" bestFit="1" customWidth="1"/>
    <col min="3078" max="3078" width="3.5546875" style="152" customWidth="1"/>
    <col min="3079" max="3328" width="8.88671875" style="152"/>
    <col min="3329" max="3329" width="2.5546875" style="152" bestFit="1" customWidth="1"/>
    <col min="3330" max="3330" width="16.6640625" style="152" customWidth="1"/>
    <col min="3331" max="3331" width="16.5546875" style="152" customWidth="1"/>
    <col min="3332" max="3332" width="20.44140625" style="152" customWidth="1"/>
    <col min="3333" max="3333" width="10.5546875" style="152" bestFit="1" customWidth="1"/>
    <col min="3334" max="3334" width="3.5546875" style="152" customWidth="1"/>
    <col min="3335" max="3584" width="8.88671875" style="152"/>
    <col min="3585" max="3585" width="2.5546875" style="152" bestFit="1" customWidth="1"/>
    <col min="3586" max="3586" width="16.6640625" style="152" customWidth="1"/>
    <col min="3587" max="3587" width="16.5546875" style="152" customWidth="1"/>
    <col min="3588" max="3588" width="20.44140625" style="152" customWidth="1"/>
    <col min="3589" max="3589" width="10.5546875" style="152" bestFit="1" customWidth="1"/>
    <col min="3590" max="3590" width="3.5546875" style="152" customWidth="1"/>
    <col min="3591" max="3840" width="8.88671875" style="152"/>
    <col min="3841" max="3841" width="2.5546875" style="152" bestFit="1" customWidth="1"/>
    <col min="3842" max="3842" width="16.6640625" style="152" customWidth="1"/>
    <col min="3843" max="3843" width="16.5546875" style="152" customWidth="1"/>
    <col min="3844" max="3844" width="20.44140625" style="152" customWidth="1"/>
    <col min="3845" max="3845" width="10.5546875" style="152" bestFit="1" customWidth="1"/>
    <col min="3846" max="3846" width="3.5546875" style="152" customWidth="1"/>
    <col min="3847" max="4096" width="8.88671875" style="152"/>
    <col min="4097" max="4097" width="2.5546875" style="152" bestFit="1" customWidth="1"/>
    <col min="4098" max="4098" width="16.6640625" style="152" customWidth="1"/>
    <col min="4099" max="4099" width="16.5546875" style="152" customWidth="1"/>
    <col min="4100" max="4100" width="20.44140625" style="152" customWidth="1"/>
    <col min="4101" max="4101" width="10.5546875" style="152" bestFit="1" customWidth="1"/>
    <col min="4102" max="4102" width="3.5546875" style="152" customWidth="1"/>
    <col min="4103" max="4352" width="8.88671875" style="152"/>
    <col min="4353" max="4353" width="2.5546875" style="152" bestFit="1" customWidth="1"/>
    <col min="4354" max="4354" width="16.6640625" style="152" customWidth="1"/>
    <col min="4355" max="4355" width="16.5546875" style="152" customWidth="1"/>
    <col min="4356" max="4356" width="20.44140625" style="152" customWidth="1"/>
    <col min="4357" max="4357" width="10.5546875" style="152" bestFit="1" customWidth="1"/>
    <col min="4358" max="4358" width="3.5546875" style="152" customWidth="1"/>
    <col min="4359" max="4608" width="8.88671875" style="152"/>
    <col min="4609" max="4609" width="2.5546875" style="152" bestFit="1" customWidth="1"/>
    <col min="4610" max="4610" width="16.6640625" style="152" customWidth="1"/>
    <col min="4611" max="4611" width="16.5546875" style="152" customWidth="1"/>
    <col min="4612" max="4612" width="20.44140625" style="152" customWidth="1"/>
    <col min="4613" max="4613" width="10.5546875" style="152" bestFit="1" customWidth="1"/>
    <col min="4614" max="4614" width="3.5546875" style="152" customWidth="1"/>
    <col min="4615" max="4864" width="8.88671875" style="152"/>
    <col min="4865" max="4865" width="2.5546875" style="152" bestFit="1" customWidth="1"/>
    <col min="4866" max="4866" width="16.6640625" style="152" customWidth="1"/>
    <col min="4867" max="4867" width="16.5546875" style="152" customWidth="1"/>
    <col min="4868" max="4868" width="20.44140625" style="152" customWidth="1"/>
    <col min="4869" max="4869" width="10.5546875" style="152" bestFit="1" customWidth="1"/>
    <col min="4870" max="4870" width="3.5546875" style="152" customWidth="1"/>
    <col min="4871" max="5120" width="8.88671875" style="152"/>
    <col min="5121" max="5121" width="2.5546875" style="152" bestFit="1" customWidth="1"/>
    <col min="5122" max="5122" width="16.6640625" style="152" customWidth="1"/>
    <col min="5123" max="5123" width="16.5546875" style="152" customWidth="1"/>
    <col min="5124" max="5124" width="20.44140625" style="152" customWidth="1"/>
    <col min="5125" max="5125" width="10.5546875" style="152" bestFit="1" customWidth="1"/>
    <col min="5126" max="5126" width="3.5546875" style="152" customWidth="1"/>
    <col min="5127" max="5376" width="8.88671875" style="152"/>
    <col min="5377" max="5377" width="2.5546875" style="152" bestFit="1" customWidth="1"/>
    <col min="5378" max="5378" width="16.6640625" style="152" customWidth="1"/>
    <col min="5379" max="5379" width="16.5546875" style="152" customWidth="1"/>
    <col min="5380" max="5380" width="20.44140625" style="152" customWidth="1"/>
    <col min="5381" max="5381" width="10.5546875" style="152" bestFit="1" customWidth="1"/>
    <col min="5382" max="5382" width="3.5546875" style="152" customWidth="1"/>
    <col min="5383" max="5632" width="8.88671875" style="152"/>
    <col min="5633" max="5633" width="2.5546875" style="152" bestFit="1" customWidth="1"/>
    <col min="5634" max="5634" width="16.6640625" style="152" customWidth="1"/>
    <col min="5635" max="5635" width="16.5546875" style="152" customWidth="1"/>
    <col min="5636" max="5636" width="20.44140625" style="152" customWidth="1"/>
    <col min="5637" max="5637" width="10.5546875" style="152" bestFit="1" customWidth="1"/>
    <col min="5638" max="5638" width="3.5546875" style="152" customWidth="1"/>
    <col min="5639" max="5888" width="8.88671875" style="152"/>
    <col min="5889" max="5889" width="2.5546875" style="152" bestFit="1" customWidth="1"/>
    <col min="5890" max="5890" width="16.6640625" style="152" customWidth="1"/>
    <col min="5891" max="5891" width="16.5546875" style="152" customWidth="1"/>
    <col min="5892" max="5892" width="20.44140625" style="152" customWidth="1"/>
    <col min="5893" max="5893" width="10.5546875" style="152" bestFit="1" customWidth="1"/>
    <col min="5894" max="5894" width="3.5546875" style="152" customWidth="1"/>
    <col min="5895" max="6144" width="8.88671875" style="152"/>
    <col min="6145" max="6145" width="2.5546875" style="152" bestFit="1" customWidth="1"/>
    <col min="6146" max="6146" width="16.6640625" style="152" customWidth="1"/>
    <col min="6147" max="6147" width="16.5546875" style="152" customWidth="1"/>
    <col min="6148" max="6148" width="20.44140625" style="152" customWidth="1"/>
    <col min="6149" max="6149" width="10.5546875" style="152" bestFit="1" customWidth="1"/>
    <col min="6150" max="6150" width="3.5546875" style="152" customWidth="1"/>
    <col min="6151" max="6400" width="8.88671875" style="152"/>
    <col min="6401" max="6401" width="2.5546875" style="152" bestFit="1" customWidth="1"/>
    <col min="6402" max="6402" width="16.6640625" style="152" customWidth="1"/>
    <col min="6403" max="6403" width="16.5546875" style="152" customWidth="1"/>
    <col min="6404" max="6404" width="20.44140625" style="152" customWidth="1"/>
    <col min="6405" max="6405" width="10.5546875" style="152" bestFit="1" customWidth="1"/>
    <col min="6406" max="6406" width="3.5546875" style="152" customWidth="1"/>
    <col min="6407" max="6656" width="8.88671875" style="152"/>
    <col min="6657" max="6657" width="2.5546875" style="152" bestFit="1" customWidth="1"/>
    <col min="6658" max="6658" width="16.6640625" style="152" customWidth="1"/>
    <col min="6659" max="6659" width="16.5546875" style="152" customWidth="1"/>
    <col min="6660" max="6660" width="20.44140625" style="152" customWidth="1"/>
    <col min="6661" max="6661" width="10.5546875" style="152" bestFit="1" customWidth="1"/>
    <col min="6662" max="6662" width="3.5546875" style="152" customWidth="1"/>
    <col min="6663" max="6912" width="8.88671875" style="152"/>
    <col min="6913" max="6913" width="2.5546875" style="152" bestFit="1" customWidth="1"/>
    <col min="6914" max="6914" width="16.6640625" style="152" customWidth="1"/>
    <col min="6915" max="6915" width="16.5546875" style="152" customWidth="1"/>
    <col min="6916" max="6916" width="20.44140625" style="152" customWidth="1"/>
    <col min="6917" max="6917" width="10.5546875" style="152" bestFit="1" customWidth="1"/>
    <col min="6918" max="6918" width="3.5546875" style="152" customWidth="1"/>
    <col min="6919" max="7168" width="8.88671875" style="152"/>
    <col min="7169" max="7169" width="2.5546875" style="152" bestFit="1" customWidth="1"/>
    <col min="7170" max="7170" width="16.6640625" style="152" customWidth="1"/>
    <col min="7171" max="7171" width="16.5546875" style="152" customWidth="1"/>
    <col min="7172" max="7172" width="20.44140625" style="152" customWidth="1"/>
    <col min="7173" max="7173" width="10.5546875" style="152" bestFit="1" customWidth="1"/>
    <col min="7174" max="7174" width="3.5546875" style="152" customWidth="1"/>
    <col min="7175" max="7424" width="8.88671875" style="152"/>
    <col min="7425" max="7425" width="2.5546875" style="152" bestFit="1" customWidth="1"/>
    <col min="7426" max="7426" width="16.6640625" style="152" customWidth="1"/>
    <col min="7427" max="7427" width="16.5546875" style="152" customWidth="1"/>
    <col min="7428" max="7428" width="20.44140625" style="152" customWidth="1"/>
    <col min="7429" max="7429" width="10.5546875" style="152" bestFit="1" customWidth="1"/>
    <col min="7430" max="7430" width="3.5546875" style="152" customWidth="1"/>
    <col min="7431" max="7680" width="8.88671875" style="152"/>
    <col min="7681" max="7681" width="2.5546875" style="152" bestFit="1" customWidth="1"/>
    <col min="7682" max="7682" width="16.6640625" style="152" customWidth="1"/>
    <col min="7683" max="7683" width="16.5546875" style="152" customWidth="1"/>
    <col min="7684" max="7684" width="20.44140625" style="152" customWidth="1"/>
    <col min="7685" max="7685" width="10.5546875" style="152" bestFit="1" customWidth="1"/>
    <col min="7686" max="7686" width="3.5546875" style="152" customWidth="1"/>
    <col min="7687" max="7936" width="8.88671875" style="152"/>
    <col min="7937" max="7937" width="2.5546875" style="152" bestFit="1" customWidth="1"/>
    <col min="7938" max="7938" width="16.6640625" style="152" customWidth="1"/>
    <col min="7939" max="7939" width="16.5546875" style="152" customWidth="1"/>
    <col min="7940" max="7940" width="20.44140625" style="152" customWidth="1"/>
    <col min="7941" max="7941" width="10.5546875" style="152" bestFit="1" customWidth="1"/>
    <col min="7942" max="7942" width="3.5546875" style="152" customWidth="1"/>
    <col min="7943" max="8192" width="8.88671875" style="152"/>
    <col min="8193" max="8193" width="2.5546875" style="152" bestFit="1" customWidth="1"/>
    <col min="8194" max="8194" width="16.6640625" style="152" customWidth="1"/>
    <col min="8195" max="8195" width="16.5546875" style="152" customWidth="1"/>
    <col min="8196" max="8196" width="20.44140625" style="152" customWidth="1"/>
    <col min="8197" max="8197" width="10.5546875" style="152" bestFit="1" customWidth="1"/>
    <col min="8198" max="8198" width="3.5546875" style="152" customWidth="1"/>
    <col min="8199" max="8448" width="8.88671875" style="152"/>
    <col min="8449" max="8449" width="2.5546875" style="152" bestFit="1" customWidth="1"/>
    <col min="8450" max="8450" width="16.6640625" style="152" customWidth="1"/>
    <col min="8451" max="8451" width="16.5546875" style="152" customWidth="1"/>
    <col min="8452" max="8452" width="20.44140625" style="152" customWidth="1"/>
    <col min="8453" max="8453" width="10.5546875" style="152" bestFit="1" customWidth="1"/>
    <col min="8454" max="8454" width="3.5546875" style="152" customWidth="1"/>
    <col min="8455" max="8704" width="8.88671875" style="152"/>
    <col min="8705" max="8705" width="2.5546875" style="152" bestFit="1" customWidth="1"/>
    <col min="8706" max="8706" width="16.6640625" style="152" customWidth="1"/>
    <col min="8707" max="8707" width="16.5546875" style="152" customWidth="1"/>
    <col min="8708" max="8708" width="20.44140625" style="152" customWidth="1"/>
    <col min="8709" max="8709" width="10.5546875" style="152" bestFit="1" customWidth="1"/>
    <col min="8710" max="8710" width="3.5546875" style="152" customWidth="1"/>
    <col min="8711" max="8960" width="8.88671875" style="152"/>
    <col min="8961" max="8961" width="2.5546875" style="152" bestFit="1" customWidth="1"/>
    <col min="8962" max="8962" width="16.6640625" style="152" customWidth="1"/>
    <col min="8963" max="8963" width="16.5546875" style="152" customWidth="1"/>
    <col min="8964" max="8964" width="20.44140625" style="152" customWidth="1"/>
    <col min="8965" max="8965" width="10.5546875" style="152" bestFit="1" customWidth="1"/>
    <col min="8966" max="8966" width="3.5546875" style="152" customWidth="1"/>
    <col min="8967" max="9216" width="8.88671875" style="152"/>
    <col min="9217" max="9217" width="2.5546875" style="152" bestFit="1" customWidth="1"/>
    <col min="9218" max="9218" width="16.6640625" style="152" customWidth="1"/>
    <col min="9219" max="9219" width="16.5546875" style="152" customWidth="1"/>
    <col min="9220" max="9220" width="20.44140625" style="152" customWidth="1"/>
    <col min="9221" max="9221" width="10.5546875" style="152" bestFit="1" customWidth="1"/>
    <col min="9222" max="9222" width="3.5546875" style="152" customWidth="1"/>
    <col min="9223" max="9472" width="8.88671875" style="152"/>
    <col min="9473" max="9473" width="2.5546875" style="152" bestFit="1" customWidth="1"/>
    <col min="9474" max="9474" width="16.6640625" style="152" customWidth="1"/>
    <col min="9475" max="9475" width="16.5546875" style="152" customWidth="1"/>
    <col min="9476" max="9476" width="20.44140625" style="152" customWidth="1"/>
    <col min="9477" max="9477" width="10.5546875" style="152" bestFit="1" customWidth="1"/>
    <col min="9478" max="9478" width="3.5546875" style="152" customWidth="1"/>
    <col min="9479" max="9728" width="8.88671875" style="152"/>
    <col min="9729" max="9729" width="2.5546875" style="152" bestFit="1" customWidth="1"/>
    <col min="9730" max="9730" width="16.6640625" style="152" customWidth="1"/>
    <col min="9731" max="9731" width="16.5546875" style="152" customWidth="1"/>
    <col min="9732" max="9732" width="20.44140625" style="152" customWidth="1"/>
    <col min="9733" max="9733" width="10.5546875" style="152" bestFit="1" customWidth="1"/>
    <col min="9734" max="9734" width="3.5546875" style="152" customWidth="1"/>
    <col min="9735" max="9984" width="8.88671875" style="152"/>
    <col min="9985" max="9985" width="2.5546875" style="152" bestFit="1" customWidth="1"/>
    <col min="9986" max="9986" width="16.6640625" style="152" customWidth="1"/>
    <col min="9987" max="9987" width="16.5546875" style="152" customWidth="1"/>
    <col min="9988" max="9988" width="20.44140625" style="152" customWidth="1"/>
    <col min="9989" max="9989" width="10.5546875" style="152" bestFit="1" customWidth="1"/>
    <col min="9990" max="9990" width="3.5546875" style="152" customWidth="1"/>
    <col min="9991" max="10240" width="8.88671875" style="152"/>
    <col min="10241" max="10241" width="2.5546875" style="152" bestFit="1" customWidth="1"/>
    <col min="10242" max="10242" width="16.6640625" style="152" customWidth="1"/>
    <col min="10243" max="10243" width="16.5546875" style="152" customWidth="1"/>
    <col min="10244" max="10244" width="20.44140625" style="152" customWidth="1"/>
    <col min="10245" max="10245" width="10.5546875" style="152" bestFit="1" customWidth="1"/>
    <col min="10246" max="10246" width="3.5546875" style="152" customWidth="1"/>
    <col min="10247" max="10496" width="8.88671875" style="152"/>
    <col min="10497" max="10497" width="2.5546875" style="152" bestFit="1" customWidth="1"/>
    <col min="10498" max="10498" width="16.6640625" style="152" customWidth="1"/>
    <col min="10499" max="10499" width="16.5546875" style="152" customWidth="1"/>
    <col min="10500" max="10500" width="20.44140625" style="152" customWidth="1"/>
    <col min="10501" max="10501" width="10.5546875" style="152" bestFit="1" customWidth="1"/>
    <col min="10502" max="10502" width="3.5546875" style="152" customWidth="1"/>
    <col min="10503" max="10752" width="8.88671875" style="152"/>
    <col min="10753" max="10753" width="2.5546875" style="152" bestFit="1" customWidth="1"/>
    <col min="10754" max="10754" width="16.6640625" style="152" customWidth="1"/>
    <col min="10755" max="10755" width="16.5546875" style="152" customWidth="1"/>
    <col min="10756" max="10756" width="20.44140625" style="152" customWidth="1"/>
    <col min="10757" max="10757" width="10.5546875" style="152" bestFit="1" customWidth="1"/>
    <col min="10758" max="10758" width="3.5546875" style="152" customWidth="1"/>
    <col min="10759" max="11008" width="8.88671875" style="152"/>
    <col min="11009" max="11009" width="2.5546875" style="152" bestFit="1" customWidth="1"/>
    <col min="11010" max="11010" width="16.6640625" style="152" customWidth="1"/>
    <col min="11011" max="11011" width="16.5546875" style="152" customWidth="1"/>
    <col min="11012" max="11012" width="20.44140625" style="152" customWidth="1"/>
    <col min="11013" max="11013" width="10.5546875" style="152" bestFit="1" customWidth="1"/>
    <col min="11014" max="11014" width="3.5546875" style="152" customWidth="1"/>
    <col min="11015" max="11264" width="8.88671875" style="152"/>
    <col min="11265" max="11265" width="2.5546875" style="152" bestFit="1" customWidth="1"/>
    <col min="11266" max="11266" width="16.6640625" style="152" customWidth="1"/>
    <col min="11267" max="11267" width="16.5546875" style="152" customWidth="1"/>
    <col min="11268" max="11268" width="20.44140625" style="152" customWidth="1"/>
    <col min="11269" max="11269" width="10.5546875" style="152" bestFit="1" customWidth="1"/>
    <col min="11270" max="11270" width="3.5546875" style="152" customWidth="1"/>
    <col min="11271" max="11520" width="8.88671875" style="152"/>
    <col min="11521" max="11521" width="2.5546875" style="152" bestFit="1" customWidth="1"/>
    <col min="11522" max="11522" width="16.6640625" style="152" customWidth="1"/>
    <col min="11523" max="11523" width="16.5546875" style="152" customWidth="1"/>
    <col min="11524" max="11524" width="20.44140625" style="152" customWidth="1"/>
    <col min="11525" max="11525" width="10.5546875" style="152" bestFit="1" customWidth="1"/>
    <col min="11526" max="11526" width="3.5546875" style="152" customWidth="1"/>
    <col min="11527" max="11776" width="8.88671875" style="152"/>
    <col min="11777" max="11777" width="2.5546875" style="152" bestFit="1" customWidth="1"/>
    <col min="11778" max="11778" width="16.6640625" style="152" customWidth="1"/>
    <col min="11779" max="11779" width="16.5546875" style="152" customWidth="1"/>
    <col min="11780" max="11780" width="20.44140625" style="152" customWidth="1"/>
    <col min="11781" max="11781" width="10.5546875" style="152" bestFit="1" customWidth="1"/>
    <col min="11782" max="11782" width="3.5546875" style="152" customWidth="1"/>
    <col min="11783" max="12032" width="8.88671875" style="152"/>
    <col min="12033" max="12033" width="2.5546875" style="152" bestFit="1" customWidth="1"/>
    <col min="12034" max="12034" width="16.6640625" style="152" customWidth="1"/>
    <col min="12035" max="12035" width="16.5546875" style="152" customWidth="1"/>
    <col min="12036" max="12036" width="20.44140625" style="152" customWidth="1"/>
    <col min="12037" max="12037" width="10.5546875" style="152" bestFit="1" customWidth="1"/>
    <col min="12038" max="12038" width="3.5546875" style="152" customWidth="1"/>
    <col min="12039" max="12288" width="8.88671875" style="152"/>
    <col min="12289" max="12289" width="2.5546875" style="152" bestFit="1" customWidth="1"/>
    <col min="12290" max="12290" width="16.6640625" style="152" customWidth="1"/>
    <col min="12291" max="12291" width="16.5546875" style="152" customWidth="1"/>
    <col min="12292" max="12292" width="20.44140625" style="152" customWidth="1"/>
    <col min="12293" max="12293" width="10.5546875" style="152" bestFit="1" customWidth="1"/>
    <col min="12294" max="12294" width="3.5546875" style="152" customWidth="1"/>
    <col min="12295" max="12544" width="8.88671875" style="152"/>
    <col min="12545" max="12545" width="2.5546875" style="152" bestFit="1" customWidth="1"/>
    <col min="12546" max="12546" width="16.6640625" style="152" customWidth="1"/>
    <col min="12547" max="12547" width="16.5546875" style="152" customWidth="1"/>
    <col min="12548" max="12548" width="20.44140625" style="152" customWidth="1"/>
    <col min="12549" max="12549" width="10.5546875" style="152" bestFit="1" customWidth="1"/>
    <col min="12550" max="12550" width="3.5546875" style="152" customWidth="1"/>
    <col min="12551" max="12800" width="8.88671875" style="152"/>
    <col min="12801" max="12801" width="2.5546875" style="152" bestFit="1" customWidth="1"/>
    <col min="12802" max="12802" width="16.6640625" style="152" customWidth="1"/>
    <col min="12803" max="12803" width="16.5546875" style="152" customWidth="1"/>
    <col min="12804" max="12804" width="20.44140625" style="152" customWidth="1"/>
    <col min="12805" max="12805" width="10.5546875" style="152" bestFit="1" customWidth="1"/>
    <col min="12806" max="12806" width="3.5546875" style="152" customWidth="1"/>
    <col min="12807" max="13056" width="8.88671875" style="152"/>
    <col min="13057" max="13057" width="2.5546875" style="152" bestFit="1" customWidth="1"/>
    <col min="13058" max="13058" width="16.6640625" style="152" customWidth="1"/>
    <col min="13059" max="13059" width="16.5546875" style="152" customWidth="1"/>
    <col min="13060" max="13060" width="20.44140625" style="152" customWidth="1"/>
    <col min="13061" max="13061" width="10.5546875" style="152" bestFit="1" customWidth="1"/>
    <col min="13062" max="13062" width="3.5546875" style="152" customWidth="1"/>
    <col min="13063" max="13312" width="8.88671875" style="152"/>
    <col min="13313" max="13313" width="2.5546875" style="152" bestFit="1" customWidth="1"/>
    <col min="13314" max="13314" width="16.6640625" style="152" customWidth="1"/>
    <col min="13315" max="13315" width="16.5546875" style="152" customWidth="1"/>
    <col min="13316" max="13316" width="20.44140625" style="152" customWidth="1"/>
    <col min="13317" max="13317" width="10.5546875" style="152" bestFit="1" customWidth="1"/>
    <col min="13318" max="13318" width="3.5546875" style="152" customWidth="1"/>
    <col min="13319" max="13568" width="8.88671875" style="152"/>
    <col min="13569" max="13569" width="2.5546875" style="152" bestFit="1" customWidth="1"/>
    <col min="13570" max="13570" width="16.6640625" style="152" customWidth="1"/>
    <col min="13571" max="13571" width="16.5546875" style="152" customWidth="1"/>
    <col min="13572" max="13572" width="20.44140625" style="152" customWidth="1"/>
    <col min="13573" max="13573" width="10.5546875" style="152" bestFit="1" customWidth="1"/>
    <col min="13574" max="13574" width="3.5546875" style="152" customWidth="1"/>
    <col min="13575" max="13824" width="8.88671875" style="152"/>
    <col min="13825" max="13825" width="2.5546875" style="152" bestFit="1" customWidth="1"/>
    <col min="13826" max="13826" width="16.6640625" style="152" customWidth="1"/>
    <col min="13827" max="13827" width="16.5546875" style="152" customWidth="1"/>
    <col min="13828" max="13828" width="20.44140625" style="152" customWidth="1"/>
    <col min="13829" max="13829" width="10.5546875" style="152" bestFit="1" customWidth="1"/>
    <col min="13830" max="13830" width="3.5546875" style="152" customWidth="1"/>
    <col min="13831" max="14080" width="8.88671875" style="152"/>
    <col min="14081" max="14081" width="2.5546875" style="152" bestFit="1" customWidth="1"/>
    <col min="14082" max="14082" width="16.6640625" style="152" customWidth="1"/>
    <col min="14083" max="14083" width="16.5546875" style="152" customWidth="1"/>
    <col min="14084" max="14084" width="20.44140625" style="152" customWidth="1"/>
    <col min="14085" max="14085" width="10.5546875" style="152" bestFit="1" customWidth="1"/>
    <col min="14086" max="14086" width="3.5546875" style="152" customWidth="1"/>
    <col min="14087" max="14336" width="8.88671875" style="152"/>
    <col min="14337" max="14337" width="2.5546875" style="152" bestFit="1" customWidth="1"/>
    <col min="14338" max="14338" width="16.6640625" style="152" customWidth="1"/>
    <col min="14339" max="14339" width="16.5546875" style="152" customWidth="1"/>
    <col min="14340" max="14340" width="20.44140625" style="152" customWidth="1"/>
    <col min="14341" max="14341" width="10.5546875" style="152" bestFit="1" customWidth="1"/>
    <col min="14342" max="14342" width="3.5546875" style="152" customWidth="1"/>
    <col min="14343" max="14592" width="8.88671875" style="152"/>
    <col min="14593" max="14593" width="2.5546875" style="152" bestFit="1" customWidth="1"/>
    <col min="14594" max="14594" width="16.6640625" style="152" customWidth="1"/>
    <col min="14595" max="14595" width="16.5546875" style="152" customWidth="1"/>
    <col min="14596" max="14596" width="20.44140625" style="152" customWidth="1"/>
    <col min="14597" max="14597" width="10.5546875" style="152" bestFit="1" customWidth="1"/>
    <col min="14598" max="14598" width="3.5546875" style="152" customWidth="1"/>
    <col min="14599" max="14848" width="8.88671875" style="152"/>
    <col min="14849" max="14849" width="2.5546875" style="152" bestFit="1" customWidth="1"/>
    <col min="14850" max="14850" width="16.6640625" style="152" customWidth="1"/>
    <col min="14851" max="14851" width="16.5546875" style="152" customWidth="1"/>
    <col min="14852" max="14852" width="20.44140625" style="152" customWidth="1"/>
    <col min="14853" max="14853" width="10.5546875" style="152" bestFit="1" customWidth="1"/>
    <col min="14854" max="14854" width="3.5546875" style="152" customWidth="1"/>
    <col min="14855" max="15104" width="8.88671875" style="152"/>
    <col min="15105" max="15105" width="2.5546875" style="152" bestFit="1" customWidth="1"/>
    <col min="15106" max="15106" width="16.6640625" style="152" customWidth="1"/>
    <col min="15107" max="15107" width="16.5546875" style="152" customWidth="1"/>
    <col min="15108" max="15108" width="20.44140625" style="152" customWidth="1"/>
    <col min="15109" max="15109" width="10.5546875" style="152" bestFit="1" customWidth="1"/>
    <col min="15110" max="15110" width="3.5546875" style="152" customWidth="1"/>
    <col min="15111" max="15360" width="8.88671875" style="152"/>
    <col min="15361" max="15361" width="2.5546875" style="152" bestFit="1" customWidth="1"/>
    <col min="15362" max="15362" width="16.6640625" style="152" customWidth="1"/>
    <col min="15363" max="15363" width="16.5546875" style="152" customWidth="1"/>
    <col min="15364" max="15364" width="20.44140625" style="152" customWidth="1"/>
    <col min="15365" max="15365" width="10.5546875" style="152" bestFit="1" customWidth="1"/>
    <col min="15366" max="15366" width="3.5546875" style="152" customWidth="1"/>
    <col min="15367" max="15616" width="8.88671875" style="152"/>
    <col min="15617" max="15617" width="2.5546875" style="152" bestFit="1" customWidth="1"/>
    <col min="15618" max="15618" width="16.6640625" style="152" customWidth="1"/>
    <col min="15619" max="15619" width="16.5546875" style="152" customWidth="1"/>
    <col min="15620" max="15620" width="20.44140625" style="152" customWidth="1"/>
    <col min="15621" max="15621" width="10.5546875" style="152" bestFit="1" customWidth="1"/>
    <col min="15622" max="15622" width="3.5546875" style="152" customWidth="1"/>
    <col min="15623" max="15872" width="8.88671875" style="152"/>
    <col min="15873" max="15873" width="2.5546875" style="152" bestFit="1" customWidth="1"/>
    <col min="15874" max="15874" width="16.6640625" style="152" customWidth="1"/>
    <col min="15875" max="15875" width="16.5546875" style="152" customWidth="1"/>
    <col min="15876" max="15876" width="20.44140625" style="152" customWidth="1"/>
    <col min="15877" max="15877" width="10.5546875" style="152" bestFit="1" customWidth="1"/>
    <col min="15878" max="15878" width="3.5546875" style="152" customWidth="1"/>
    <col min="15879" max="16128" width="8.88671875" style="152"/>
    <col min="16129" max="16129" width="2.5546875" style="152" bestFit="1" customWidth="1"/>
    <col min="16130" max="16130" width="16.6640625" style="152" customWidth="1"/>
    <col min="16131" max="16131" width="16.5546875" style="152" customWidth="1"/>
    <col min="16132" max="16132" width="20.44140625" style="152" customWidth="1"/>
    <col min="16133" max="16133" width="10.5546875" style="152" bestFit="1" customWidth="1"/>
    <col min="16134" max="16134" width="3.5546875" style="152" customWidth="1"/>
    <col min="16135" max="16384" width="8.88671875" style="152"/>
  </cols>
  <sheetData>
    <row r="1" spans="1:6" x14ac:dyDescent="0.25">
      <c r="A1" s="149" t="str">
        <f t="shared" ref="A1:A7" si="0">ROW()&amp;")"</f>
        <v>1)</v>
      </c>
      <c r="B1" s="150" t="s">
        <v>265</v>
      </c>
      <c r="C1" s="151"/>
      <c r="D1" s="151"/>
      <c r="E1" s="151"/>
      <c r="F1" s="151"/>
    </row>
    <row r="2" spans="1:6" ht="39.6" x14ac:dyDescent="0.25">
      <c r="A2" s="149" t="str">
        <f t="shared" si="0"/>
        <v>2)</v>
      </c>
      <c r="B2" s="150" t="s">
        <v>266</v>
      </c>
      <c r="C2" s="151"/>
      <c r="D2" s="151"/>
      <c r="E2" s="151"/>
      <c r="F2" s="151"/>
    </row>
    <row r="3" spans="1:6" ht="26.4" x14ac:dyDescent="0.25">
      <c r="A3" s="149" t="str">
        <f t="shared" si="0"/>
        <v>3)</v>
      </c>
      <c r="B3" s="150" t="s">
        <v>267</v>
      </c>
      <c r="C3" s="151"/>
      <c r="D3" s="151"/>
      <c r="E3" s="151"/>
      <c r="F3" s="151"/>
    </row>
    <row r="4" spans="1:6" ht="26.4" x14ac:dyDescent="0.25">
      <c r="A4" s="149" t="str">
        <f t="shared" si="0"/>
        <v>4)</v>
      </c>
      <c r="B4" s="150" t="s">
        <v>268</v>
      </c>
      <c r="C4" s="151"/>
      <c r="D4" s="151"/>
      <c r="E4" s="151"/>
      <c r="F4" s="151"/>
    </row>
    <row r="5" spans="1:6" ht="39.6" x14ac:dyDescent="0.25">
      <c r="A5" s="149" t="str">
        <f t="shared" si="0"/>
        <v>5)</v>
      </c>
      <c r="B5" s="150" t="s">
        <v>269</v>
      </c>
      <c r="C5" s="151"/>
      <c r="D5" s="151"/>
      <c r="E5" s="151"/>
      <c r="F5" s="151"/>
    </row>
    <row r="6" spans="1:6" ht="52.8" x14ac:dyDescent="0.25">
      <c r="A6" s="149" t="str">
        <f t="shared" si="0"/>
        <v>6)</v>
      </c>
      <c r="B6" s="150" t="s">
        <v>270</v>
      </c>
      <c r="C6" s="151"/>
      <c r="D6" s="151"/>
      <c r="E6" s="151"/>
      <c r="F6" s="151"/>
    </row>
    <row r="7" spans="1:6" ht="39.6" x14ac:dyDescent="0.25">
      <c r="A7" s="149" t="str">
        <f t="shared" si="0"/>
        <v>7)</v>
      </c>
      <c r="B7" s="150" t="s">
        <v>271</v>
      </c>
      <c r="C7" s="151"/>
      <c r="D7" s="151"/>
      <c r="E7" s="151"/>
      <c r="F7" s="151"/>
    </row>
    <row r="8" spans="1:6" ht="13.8" thickBot="1" x14ac:dyDescent="0.3"/>
    <row r="9" spans="1:6" ht="27.6" thickTop="1" thickBot="1" x14ac:dyDescent="0.3">
      <c r="A9" s="153">
        <v>1</v>
      </c>
      <c r="B9" s="175" t="str">
        <f>"Borrower Point of View: At an "&amp;D10&amp;" of "&amp;TEXT(E10,"0.00%")&amp;" the monthly PMT paid = "&amp;DOLLAR(C13)</f>
        <v>Borrower Point of View: At an Annual Interest Rate of 6.50% the monthly PMT paid = $0.00</v>
      </c>
      <c r="C9" s="175"/>
      <c r="D9" s="175"/>
      <c r="E9" s="175"/>
    </row>
    <row r="10" spans="1:6" ht="13.8" thickTop="1" x14ac:dyDescent="0.25">
      <c r="B10" s="154" t="s">
        <v>272</v>
      </c>
      <c r="C10" s="155">
        <v>34799</v>
      </c>
      <c r="D10" s="154" t="s">
        <v>9</v>
      </c>
      <c r="E10" s="156">
        <v>6.5000000000000002E-2</v>
      </c>
    </row>
    <row r="11" spans="1:6" x14ac:dyDescent="0.25">
      <c r="B11" s="157" t="s">
        <v>273</v>
      </c>
      <c r="C11" s="158">
        <v>10000</v>
      </c>
      <c r="D11" s="159" t="s">
        <v>274</v>
      </c>
      <c r="E11" s="160"/>
    </row>
    <row r="12" spans="1:6" x14ac:dyDescent="0.25">
      <c r="B12" s="159" t="s">
        <v>275</v>
      </c>
      <c r="C12" s="161"/>
      <c r="D12" s="159" t="s">
        <v>276</v>
      </c>
      <c r="E12" s="162">
        <v>5</v>
      </c>
    </row>
    <row r="13" spans="1:6" x14ac:dyDescent="0.25">
      <c r="B13" s="159" t="s">
        <v>277</v>
      </c>
      <c r="C13" s="161"/>
      <c r="D13" s="159" t="s">
        <v>278</v>
      </c>
      <c r="E13" s="163"/>
    </row>
    <row r="14" spans="1:6" x14ac:dyDescent="0.25">
      <c r="B14" s="159" t="s">
        <v>279</v>
      </c>
      <c r="C14" s="158">
        <f>-C12/((1-(1+E10/E14)^(-E12*E14))/(E10/E14))</f>
        <v>0</v>
      </c>
      <c r="D14" s="157" t="s">
        <v>280</v>
      </c>
      <c r="E14" s="162">
        <v>12</v>
      </c>
    </row>
    <row r="15" spans="1:6" x14ac:dyDescent="0.25">
      <c r="B15" s="157" t="s">
        <v>281</v>
      </c>
      <c r="C15" s="161"/>
      <c r="D15" s="157" t="s">
        <v>282</v>
      </c>
      <c r="E15" s="162">
        <v>1</v>
      </c>
    </row>
    <row r="16" spans="1:6" ht="13.8" thickBot="1" x14ac:dyDescent="0.3">
      <c r="B16" s="164"/>
      <c r="C16" s="165"/>
      <c r="D16" s="164"/>
    </row>
    <row r="17" spans="1:5" ht="27.6" thickTop="1" thickBot="1" x14ac:dyDescent="0.3">
      <c r="A17" s="153">
        <v>2</v>
      </c>
      <c r="B17" s="175" t="str">
        <f>"Lender Point of view: At an "&amp;D18&amp;" of "&amp;TEXT(E18,"0.00%")&amp;" the monthly PMT received = "&amp;DOLLAR(C21)</f>
        <v>Lender Point of view: At an Annual Interest Rate of 6.50% the monthly PMT received = $0.00</v>
      </c>
      <c r="C17" s="175"/>
      <c r="D17" s="175"/>
      <c r="E17" s="175"/>
    </row>
    <row r="18" spans="1:5" ht="13.8" thickTop="1" x14ac:dyDescent="0.25">
      <c r="B18" s="154" t="s">
        <v>272</v>
      </c>
      <c r="C18" s="155">
        <f>C10</f>
        <v>34799</v>
      </c>
      <c r="D18" s="154" t="s">
        <v>9</v>
      </c>
      <c r="E18" s="156">
        <f>E10</f>
        <v>6.5000000000000002E-2</v>
      </c>
    </row>
    <row r="19" spans="1:5" x14ac:dyDescent="0.25">
      <c r="B19" s="157" t="s">
        <v>273</v>
      </c>
      <c r="C19" s="158">
        <f>C11</f>
        <v>10000</v>
      </c>
      <c r="D19" s="159" t="s">
        <v>274</v>
      </c>
      <c r="E19" s="166">
        <f>E18/E22</f>
        <v>5.4166666666666669E-3</v>
      </c>
    </row>
    <row r="20" spans="1:5" x14ac:dyDescent="0.25">
      <c r="B20" s="159" t="s">
        <v>275</v>
      </c>
      <c r="C20" s="167">
        <f>-(C18-C19)</f>
        <v>-24799</v>
      </c>
      <c r="D20" s="159" t="s">
        <v>276</v>
      </c>
      <c r="E20" s="162">
        <f>E12</f>
        <v>5</v>
      </c>
    </row>
    <row r="21" spans="1:5" x14ac:dyDescent="0.25">
      <c r="B21" s="159" t="s">
        <v>279</v>
      </c>
      <c r="C21" s="168"/>
      <c r="D21" s="159" t="s">
        <v>278</v>
      </c>
      <c r="E21" s="169">
        <f>E20*E22</f>
        <v>60</v>
      </c>
    </row>
    <row r="22" spans="1:5" x14ac:dyDescent="0.25">
      <c r="B22" s="159" t="s">
        <v>279</v>
      </c>
      <c r="C22" s="158">
        <f>-(C20/((1-(1+E18/E22)^(-E20*E22))/(E18/E22)))</f>
        <v>485.22090967625377</v>
      </c>
      <c r="D22" s="157" t="s">
        <v>280</v>
      </c>
      <c r="E22" s="162">
        <f>E14</f>
        <v>12</v>
      </c>
    </row>
    <row r="23" spans="1:5" ht="13.8" thickBot="1" x14ac:dyDescent="0.3"/>
    <row r="24" spans="1:5" ht="40.799999999999997" thickTop="1" thickBot="1" x14ac:dyDescent="0.3">
      <c r="A24" s="153">
        <v>3</v>
      </c>
      <c r="B24" s="175" t="str">
        <f>"At an "&amp;D25&amp;" of "&amp;TEXT(E25,"0.00%")&amp;" and a balloon payment of "&amp;DOLLAR(-C28)&amp;" at the end of "&amp;E28&amp;" months, the monthly PMT = "&amp;DOLLAR(PMT(E26,E28,C27,C28))&amp;" - Borrower's Point of View."</f>
        <v>At an Annual Interest Rate of 5.25% and a balloon payment of $5,000.00 at the end of 36 months, the monthly PMT = ($1,225.21) - Borrower's Point of View.</v>
      </c>
      <c r="C24" s="175"/>
      <c r="D24" s="175"/>
      <c r="E24" s="175"/>
    </row>
    <row r="25" spans="1:5" ht="13.8" thickTop="1" x14ac:dyDescent="0.25">
      <c r="B25" s="154" t="s">
        <v>272</v>
      </c>
      <c r="C25" s="155">
        <v>50000</v>
      </c>
      <c r="D25" s="154" t="s">
        <v>9</v>
      </c>
      <c r="E25" s="156">
        <v>5.2499999999999998E-2</v>
      </c>
    </row>
    <row r="26" spans="1:5" x14ac:dyDescent="0.25">
      <c r="B26" s="157" t="s">
        <v>273</v>
      </c>
      <c r="C26" s="158">
        <v>5000</v>
      </c>
      <c r="D26" s="159" t="s">
        <v>274</v>
      </c>
      <c r="E26" s="166">
        <f>E25/E29</f>
        <v>4.3749999999999995E-3</v>
      </c>
    </row>
    <row r="27" spans="1:5" x14ac:dyDescent="0.25">
      <c r="B27" s="157" t="s">
        <v>275</v>
      </c>
      <c r="C27" s="158">
        <f>C25-C26</f>
        <v>45000</v>
      </c>
      <c r="D27" s="159" t="s">
        <v>276</v>
      </c>
      <c r="E27" s="162">
        <v>3</v>
      </c>
    </row>
    <row r="28" spans="1:5" x14ac:dyDescent="0.25">
      <c r="B28" s="162" t="s">
        <v>283</v>
      </c>
      <c r="C28" s="158">
        <v>-5000</v>
      </c>
      <c r="D28" s="159" t="s">
        <v>278</v>
      </c>
      <c r="E28" s="169">
        <f>E27*E29</f>
        <v>36</v>
      </c>
    </row>
    <row r="29" spans="1:5" x14ac:dyDescent="0.25">
      <c r="B29" s="159" t="s">
        <v>279</v>
      </c>
      <c r="C29" s="161"/>
      <c r="D29" s="157" t="s">
        <v>280</v>
      </c>
      <c r="E29" s="162">
        <v>12</v>
      </c>
    </row>
    <row r="30" spans="1:5" ht="13.8" thickBot="1" x14ac:dyDescent="0.3"/>
    <row r="31" spans="1:5" ht="27.6" thickTop="1" thickBot="1" x14ac:dyDescent="0.3">
      <c r="A31" s="153">
        <v>4</v>
      </c>
      <c r="B31" s="175" t="str">
        <f>"At an "&amp;D32&amp;" of "&amp;TEXT(E32,"0.00%")&amp;" and no payments during the first year, the PMT = "&amp;DOLLAR(C36)&amp;" - Borrower's Point of View."</f>
        <v>At an Annual Interest Rate of 8.50% and no payments during the first year, the PMT = ($67,328.25) - Borrower's Point of View.</v>
      </c>
      <c r="C31" s="175"/>
      <c r="D31" s="175"/>
      <c r="E31" s="175"/>
    </row>
    <row r="32" spans="1:5" ht="13.8" thickTop="1" x14ac:dyDescent="0.25">
      <c r="B32" s="154" t="s">
        <v>275</v>
      </c>
      <c r="C32" s="155">
        <v>1000000</v>
      </c>
      <c r="D32" s="154" t="s">
        <v>9</v>
      </c>
      <c r="E32" s="156">
        <v>8.5000000000000006E-2</v>
      </c>
    </row>
    <row r="33" spans="1:9" ht="26.4" x14ac:dyDescent="0.25">
      <c r="B33" s="171" t="s">
        <v>284</v>
      </c>
      <c r="C33" s="170">
        <v>1</v>
      </c>
      <c r="D33" s="159" t="s">
        <v>285</v>
      </c>
      <c r="E33" s="166">
        <f>E32/E36</f>
        <v>2.1250000000000002E-2</v>
      </c>
    </row>
    <row r="34" spans="1:9" x14ac:dyDescent="0.25">
      <c r="B34" s="157" t="s">
        <v>286</v>
      </c>
      <c r="C34" s="161"/>
      <c r="D34" s="159" t="s">
        <v>276</v>
      </c>
      <c r="E34" s="176">
        <v>6</v>
      </c>
    </row>
    <row r="35" spans="1:9" x14ac:dyDescent="0.25">
      <c r="B35" s="159" t="s">
        <v>287</v>
      </c>
      <c r="C35" s="172"/>
      <c r="D35" s="159" t="s">
        <v>12</v>
      </c>
      <c r="E35" s="169">
        <f>E34*E36</f>
        <v>24</v>
      </c>
    </row>
    <row r="36" spans="1:9" x14ac:dyDescent="0.25">
      <c r="B36" s="159" t="s">
        <v>287</v>
      </c>
      <c r="C36" s="158">
        <f>PMT(E33,(E34-C33)*E36,FV(E33,C33*E36,,-C32))</f>
        <v>-67328.250185892379</v>
      </c>
      <c r="D36" s="157" t="s">
        <v>280</v>
      </c>
      <c r="E36" s="162">
        <v>4</v>
      </c>
      <c r="H36" s="152" t="s">
        <v>88</v>
      </c>
      <c r="I36" s="152">
        <f>C32*(1+E33)^E36</f>
        <v>1087747.9617211912</v>
      </c>
    </row>
    <row r="37" spans="1:9" ht="13.8" thickBot="1" x14ac:dyDescent="0.3"/>
    <row r="38" spans="1:9" ht="13.8" thickTop="1" x14ac:dyDescent="0.25">
      <c r="A38" s="153">
        <v>5</v>
      </c>
      <c r="B38" s="177" t="s">
        <v>301</v>
      </c>
      <c r="C38" s="177"/>
      <c r="D38" s="177"/>
      <c r="E38" s="177"/>
    </row>
    <row r="39" spans="1:9" x14ac:dyDescent="0.25">
      <c r="B39" s="159" t="s">
        <v>275</v>
      </c>
      <c r="C39" s="158">
        <v>200000</v>
      </c>
      <c r="D39" s="159" t="s">
        <v>276</v>
      </c>
      <c r="E39" s="176">
        <v>30</v>
      </c>
    </row>
    <row r="40" spans="1:9" x14ac:dyDescent="0.25">
      <c r="B40" s="159" t="s">
        <v>9</v>
      </c>
      <c r="C40" s="181">
        <v>0.05</v>
      </c>
      <c r="D40" s="157" t="s">
        <v>280</v>
      </c>
      <c r="E40" s="162">
        <v>12</v>
      </c>
    </row>
    <row r="41" spans="1:9" x14ac:dyDescent="0.25">
      <c r="B41" s="159" t="s">
        <v>285</v>
      </c>
      <c r="C41" s="180">
        <f>C40/E40</f>
        <v>4.1666666666666666E-3</v>
      </c>
      <c r="D41" s="162" t="s">
        <v>288</v>
      </c>
      <c r="E41" s="162">
        <v>0.01</v>
      </c>
      <c r="G41" s="152">
        <v>1</v>
      </c>
    </row>
    <row r="42" spans="1:9" x14ac:dyDescent="0.25">
      <c r="B42" s="159" t="s">
        <v>12</v>
      </c>
      <c r="C42" s="169">
        <f>E39*E40</f>
        <v>360</v>
      </c>
      <c r="D42" s="162" t="s">
        <v>300</v>
      </c>
      <c r="E42" s="162">
        <v>750</v>
      </c>
    </row>
    <row r="43" spans="1:9" x14ac:dyDescent="0.25">
      <c r="B43" s="159" t="s">
        <v>145</v>
      </c>
      <c r="C43" s="167">
        <f>PMT(C41,C42,C39)</f>
        <v>-1073.6432460242781</v>
      </c>
    </row>
    <row r="44" spans="1:9" x14ac:dyDescent="0.25">
      <c r="B44" s="162" t="s">
        <v>289</v>
      </c>
      <c r="C44" s="178"/>
    </row>
    <row r="45" spans="1:9" ht="14.4" x14ac:dyDescent="0.3">
      <c r="B45" s="162" t="s">
        <v>11</v>
      </c>
      <c r="C45" s="179"/>
      <c r="D45"/>
      <c r="E45"/>
    </row>
    <row r="46" spans="1:9" ht="14.4" x14ac:dyDescent="0.3">
      <c r="B46" s="162" t="s">
        <v>290</v>
      </c>
      <c r="C46" s="179"/>
      <c r="D46"/>
      <c r="E46"/>
    </row>
  </sheetData>
  <conditionalFormatting sqref="C14 C22">
    <cfRule type="expression" dxfId="3" priority="3" stopIfTrue="1">
      <formula>C13=""</formula>
    </cfRule>
  </conditionalFormatting>
  <conditionalFormatting sqref="C36">
    <cfRule type="expression" dxfId="2" priority="2" stopIfTrue="1">
      <formula>$C$35=""</formula>
    </cfRule>
  </conditionalFormatting>
  <pageMargins left="0.75" right="0.75" top="1" bottom="1" header="0.5"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6"/>
  <sheetViews>
    <sheetView topLeftCell="A7" zoomScale="130" zoomScaleNormal="130" workbookViewId="0">
      <selection activeCell="C15" sqref="C15"/>
    </sheetView>
  </sheetViews>
  <sheetFormatPr defaultRowHeight="13.2" x14ac:dyDescent="0.25"/>
  <cols>
    <col min="1" max="1" width="2.5546875" style="152" bestFit="1" customWidth="1"/>
    <col min="2" max="2" width="19" style="152" bestFit="1" customWidth="1"/>
    <col min="3" max="3" width="16.5546875" style="152" customWidth="1"/>
    <col min="4" max="4" width="20.44140625" style="152" customWidth="1"/>
    <col min="5" max="5" width="10.5546875" style="152" bestFit="1" customWidth="1"/>
    <col min="6" max="6" width="3.5546875" style="152" customWidth="1"/>
    <col min="7" max="256" width="8.88671875" style="152"/>
    <col min="257" max="257" width="2.5546875" style="152" bestFit="1" customWidth="1"/>
    <col min="258" max="258" width="16.6640625" style="152" customWidth="1"/>
    <col min="259" max="259" width="16.5546875" style="152" customWidth="1"/>
    <col min="260" max="260" width="20.44140625" style="152" customWidth="1"/>
    <col min="261" max="261" width="10.5546875" style="152" bestFit="1" customWidth="1"/>
    <col min="262" max="262" width="3.5546875" style="152" customWidth="1"/>
    <col min="263" max="512" width="8.88671875" style="152"/>
    <col min="513" max="513" width="2.5546875" style="152" bestFit="1" customWidth="1"/>
    <col min="514" max="514" width="16.6640625" style="152" customWidth="1"/>
    <col min="515" max="515" width="16.5546875" style="152" customWidth="1"/>
    <col min="516" max="516" width="20.44140625" style="152" customWidth="1"/>
    <col min="517" max="517" width="10.5546875" style="152" bestFit="1" customWidth="1"/>
    <col min="518" max="518" width="3.5546875" style="152" customWidth="1"/>
    <col min="519" max="768" width="8.88671875" style="152"/>
    <col min="769" max="769" width="2.5546875" style="152" bestFit="1" customWidth="1"/>
    <col min="770" max="770" width="16.6640625" style="152" customWidth="1"/>
    <col min="771" max="771" width="16.5546875" style="152" customWidth="1"/>
    <col min="772" max="772" width="20.44140625" style="152" customWidth="1"/>
    <col min="773" max="773" width="10.5546875" style="152" bestFit="1" customWidth="1"/>
    <col min="774" max="774" width="3.5546875" style="152" customWidth="1"/>
    <col min="775" max="1024" width="8.88671875" style="152"/>
    <col min="1025" max="1025" width="2.5546875" style="152" bestFit="1" customWidth="1"/>
    <col min="1026" max="1026" width="16.6640625" style="152" customWidth="1"/>
    <col min="1027" max="1027" width="16.5546875" style="152" customWidth="1"/>
    <col min="1028" max="1028" width="20.44140625" style="152" customWidth="1"/>
    <col min="1029" max="1029" width="10.5546875" style="152" bestFit="1" customWidth="1"/>
    <col min="1030" max="1030" width="3.5546875" style="152" customWidth="1"/>
    <col min="1031" max="1280" width="8.88671875" style="152"/>
    <col min="1281" max="1281" width="2.5546875" style="152" bestFit="1" customWidth="1"/>
    <col min="1282" max="1282" width="16.6640625" style="152" customWidth="1"/>
    <col min="1283" max="1283" width="16.5546875" style="152" customWidth="1"/>
    <col min="1284" max="1284" width="20.44140625" style="152" customWidth="1"/>
    <col min="1285" max="1285" width="10.5546875" style="152" bestFit="1" customWidth="1"/>
    <col min="1286" max="1286" width="3.5546875" style="152" customWidth="1"/>
    <col min="1287" max="1536" width="8.88671875" style="152"/>
    <col min="1537" max="1537" width="2.5546875" style="152" bestFit="1" customWidth="1"/>
    <col min="1538" max="1538" width="16.6640625" style="152" customWidth="1"/>
    <col min="1539" max="1539" width="16.5546875" style="152" customWidth="1"/>
    <col min="1540" max="1540" width="20.44140625" style="152" customWidth="1"/>
    <col min="1541" max="1541" width="10.5546875" style="152" bestFit="1" customWidth="1"/>
    <col min="1542" max="1542" width="3.5546875" style="152" customWidth="1"/>
    <col min="1543" max="1792" width="8.88671875" style="152"/>
    <col min="1793" max="1793" width="2.5546875" style="152" bestFit="1" customWidth="1"/>
    <col min="1794" max="1794" width="16.6640625" style="152" customWidth="1"/>
    <col min="1795" max="1795" width="16.5546875" style="152" customWidth="1"/>
    <col min="1796" max="1796" width="20.44140625" style="152" customWidth="1"/>
    <col min="1797" max="1797" width="10.5546875" style="152" bestFit="1" customWidth="1"/>
    <col min="1798" max="1798" width="3.5546875" style="152" customWidth="1"/>
    <col min="1799" max="2048" width="8.88671875" style="152"/>
    <col min="2049" max="2049" width="2.5546875" style="152" bestFit="1" customWidth="1"/>
    <col min="2050" max="2050" width="16.6640625" style="152" customWidth="1"/>
    <col min="2051" max="2051" width="16.5546875" style="152" customWidth="1"/>
    <col min="2052" max="2052" width="20.44140625" style="152" customWidth="1"/>
    <col min="2053" max="2053" width="10.5546875" style="152" bestFit="1" customWidth="1"/>
    <col min="2054" max="2054" width="3.5546875" style="152" customWidth="1"/>
    <col min="2055" max="2304" width="8.88671875" style="152"/>
    <col min="2305" max="2305" width="2.5546875" style="152" bestFit="1" customWidth="1"/>
    <col min="2306" max="2306" width="16.6640625" style="152" customWidth="1"/>
    <col min="2307" max="2307" width="16.5546875" style="152" customWidth="1"/>
    <col min="2308" max="2308" width="20.44140625" style="152" customWidth="1"/>
    <col min="2309" max="2309" width="10.5546875" style="152" bestFit="1" customWidth="1"/>
    <col min="2310" max="2310" width="3.5546875" style="152" customWidth="1"/>
    <col min="2311" max="2560" width="8.88671875" style="152"/>
    <col min="2561" max="2561" width="2.5546875" style="152" bestFit="1" customWidth="1"/>
    <col min="2562" max="2562" width="16.6640625" style="152" customWidth="1"/>
    <col min="2563" max="2563" width="16.5546875" style="152" customWidth="1"/>
    <col min="2564" max="2564" width="20.44140625" style="152" customWidth="1"/>
    <col min="2565" max="2565" width="10.5546875" style="152" bestFit="1" customWidth="1"/>
    <col min="2566" max="2566" width="3.5546875" style="152" customWidth="1"/>
    <col min="2567" max="2816" width="8.88671875" style="152"/>
    <col min="2817" max="2817" width="2.5546875" style="152" bestFit="1" customWidth="1"/>
    <col min="2818" max="2818" width="16.6640625" style="152" customWidth="1"/>
    <col min="2819" max="2819" width="16.5546875" style="152" customWidth="1"/>
    <col min="2820" max="2820" width="20.44140625" style="152" customWidth="1"/>
    <col min="2821" max="2821" width="10.5546875" style="152" bestFit="1" customWidth="1"/>
    <col min="2822" max="2822" width="3.5546875" style="152" customWidth="1"/>
    <col min="2823" max="3072" width="8.88671875" style="152"/>
    <col min="3073" max="3073" width="2.5546875" style="152" bestFit="1" customWidth="1"/>
    <col min="3074" max="3074" width="16.6640625" style="152" customWidth="1"/>
    <col min="3075" max="3075" width="16.5546875" style="152" customWidth="1"/>
    <col min="3076" max="3076" width="20.44140625" style="152" customWidth="1"/>
    <col min="3077" max="3077" width="10.5546875" style="152" bestFit="1" customWidth="1"/>
    <col min="3078" max="3078" width="3.5546875" style="152" customWidth="1"/>
    <col min="3079" max="3328" width="8.88671875" style="152"/>
    <col min="3329" max="3329" width="2.5546875" style="152" bestFit="1" customWidth="1"/>
    <col min="3330" max="3330" width="16.6640625" style="152" customWidth="1"/>
    <col min="3331" max="3331" width="16.5546875" style="152" customWidth="1"/>
    <col min="3332" max="3332" width="20.44140625" style="152" customWidth="1"/>
    <col min="3333" max="3333" width="10.5546875" style="152" bestFit="1" customWidth="1"/>
    <col min="3334" max="3334" width="3.5546875" style="152" customWidth="1"/>
    <col min="3335" max="3584" width="8.88671875" style="152"/>
    <col min="3585" max="3585" width="2.5546875" style="152" bestFit="1" customWidth="1"/>
    <col min="3586" max="3586" width="16.6640625" style="152" customWidth="1"/>
    <col min="3587" max="3587" width="16.5546875" style="152" customWidth="1"/>
    <col min="3588" max="3588" width="20.44140625" style="152" customWidth="1"/>
    <col min="3589" max="3589" width="10.5546875" style="152" bestFit="1" customWidth="1"/>
    <col min="3590" max="3590" width="3.5546875" style="152" customWidth="1"/>
    <col min="3591" max="3840" width="8.88671875" style="152"/>
    <col min="3841" max="3841" width="2.5546875" style="152" bestFit="1" customWidth="1"/>
    <col min="3842" max="3842" width="16.6640625" style="152" customWidth="1"/>
    <col min="3843" max="3843" width="16.5546875" style="152" customWidth="1"/>
    <col min="3844" max="3844" width="20.44140625" style="152" customWidth="1"/>
    <col min="3845" max="3845" width="10.5546875" style="152" bestFit="1" customWidth="1"/>
    <col min="3846" max="3846" width="3.5546875" style="152" customWidth="1"/>
    <col min="3847" max="4096" width="8.88671875" style="152"/>
    <col min="4097" max="4097" width="2.5546875" style="152" bestFit="1" customWidth="1"/>
    <col min="4098" max="4098" width="16.6640625" style="152" customWidth="1"/>
    <col min="4099" max="4099" width="16.5546875" style="152" customWidth="1"/>
    <col min="4100" max="4100" width="20.44140625" style="152" customWidth="1"/>
    <col min="4101" max="4101" width="10.5546875" style="152" bestFit="1" customWidth="1"/>
    <col min="4102" max="4102" width="3.5546875" style="152" customWidth="1"/>
    <col min="4103" max="4352" width="8.88671875" style="152"/>
    <col min="4353" max="4353" width="2.5546875" style="152" bestFit="1" customWidth="1"/>
    <col min="4354" max="4354" width="16.6640625" style="152" customWidth="1"/>
    <col min="4355" max="4355" width="16.5546875" style="152" customWidth="1"/>
    <col min="4356" max="4356" width="20.44140625" style="152" customWidth="1"/>
    <col min="4357" max="4357" width="10.5546875" style="152" bestFit="1" customWidth="1"/>
    <col min="4358" max="4358" width="3.5546875" style="152" customWidth="1"/>
    <col min="4359" max="4608" width="8.88671875" style="152"/>
    <col min="4609" max="4609" width="2.5546875" style="152" bestFit="1" customWidth="1"/>
    <col min="4610" max="4610" width="16.6640625" style="152" customWidth="1"/>
    <col min="4611" max="4611" width="16.5546875" style="152" customWidth="1"/>
    <col min="4612" max="4612" width="20.44140625" style="152" customWidth="1"/>
    <col min="4613" max="4613" width="10.5546875" style="152" bestFit="1" customWidth="1"/>
    <col min="4614" max="4614" width="3.5546875" style="152" customWidth="1"/>
    <col min="4615" max="4864" width="8.88671875" style="152"/>
    <col min="4865" max="4865" width="2.5546875" style="152" bestFit="1" customWidth="1"/>
    <col min="4866" max="4866" width="16.6640625" style="152" customWidth="1"/>
    <col min="4867" max="4867" width="16.5546875" style="152" customWidth="1"/>
    <col min="4868" max="4868" width="20.44140625" style="152" customWidth="1"/>
    <col min="4869" max="4869" width="10.5546875" style="152" bestFit="1" customWidth="1"/>
    <col min="4870" max="4870" width="3.5546875" style="152" customWidth="1"/>
    <col min="4871" max="5120" width="8.88671875" style="152"/>
    <col min="5121" max="5121" width="2.5546875" style="152" bestFit="1" customWidth="1"/>
    <col min="5122" max="5122" width="16.6640625" style="152" customWidth="1"/>
    <col min="5123" max="5123" width="16.5546875" style="152" customWidth="1"/>
    <col min="5124" max="5124" width="20.44140625" style="152" customWidth="1"/>
    <col min="5125" max="5125" width="10.5546875" style="152" bestFit="1" customWidth="1"/>
    <col min="5126" max="5126" width="3.5546875" style="152" customWidth="1"/>
    <col min="5127" max="5376" width="8.88671875" style="152"/>
    <col min="5377" max="5377" width="2.5546875" style="152" bestFit="1" customWidth="1"/>
    <col min="5378" max="5378" width="16.6640625" style="152" customWidth="1"/>
    <col min="5379" max="5379" width="16.5546875" style="152" customWidth="1"/>
    <col min="5380" max="5380" width="20.44140625" style="152" customWidth="1"/>
    <col min="5381" max="5381" width="10.5546875" style="152" bestFit="1" customWidth="1"/>
    <col min="5382" max="5382" width="3.5546875" style="152" customWidth="1"/>
    <col min="5383" max="5632" width="8.88671875" style="152"/>
    <col min="5633" max="5633" width="2.5546875" style="152" bestFit="1" customWidth="1"/>
    <col min="5634" max="5634" width="16.6640625" style="152" customWidth="1"/>
    <col min="5635" max="5635" width="16.5546875" style="152" customWidth="1"/>
    <col min="5636" max="5636" width="20.44140625" style="152" customWidth="1"/>
    <col min="5637" max="5637" width="10.5546875" style="152" bestFit="1" customWidth="1"/>
    <col min="5638" max="5638" width="3.5546875" style="152" customWidth="1"/>
    <col min="5639" max="5888" width="8.88671875" style="152"/>
    <col min="5889" max="5889" width="2.5546875" style="152" bestFit="1" customWidth="1"/>
    <col min="5890" max="5890" width="16.6640625" style="152" customWidth="1"/>
    <col min="5891" max="5891" width="16.5546875" style="152" customWidth="1"/>
    <col min="5892" max="5892" width="20.44140625" style="152" customWidth="1"/>
    <col min="5893" max="5893" width="10.5546875" style="152" bestFit="1" customWidth="1"/>
    <col min="5894" max="5894" width="3.5546875" style="152" customWidth="1"/>
    <col min="5895" max="6144" width="8.88671875" style="152"/>
    <col min="6145" max="6145" width="2.5546875" style="152" bestFit="1" customWidth="1"/>
    <col min="6146" max="6146" width="16.6640625" style="152" customWidth="1"/>
    <col min="6147" max="6147" width="16.5546875" style="152" customWidth="1"/>
    <col min="6148" max="6148" width="20.44140625" style="152" customWidth="1"/>
    <col min="6149" max="6149" width="10.5546875" style="152" bestFit="1" customWidth="1"/>
    <col min="6150" max="6150" width="3.5546875" style="152" customWidth="1"/>
    <col min="6151" max="6400" width="8.88671875" style="152"/>
    <col min="6401" max="6401" width="2.5546875" style="152" bestFit="1" customWidth="1"/>
    <col min="6402" max="6402" width="16.6640625" style="152" customWidth="1"/>
    <col min="6403" max="6403" width="16.5546875" style="152" customWidth="1"/>
    <col min="6404" max="6404" width="20.44140625" style="152" customWidth="1"/>
    <col min="6405" max="6405" width="10.5546875" style="152" bestFit="1" customWidth="1"/>
    <col min="6406" max="6406" width="3.5546875" style="152" customWidth="1"/>
    <col min="6407" max="6656" width="8.88671875" style="152"/>
    <col min="6657" max="6657" width="2.5546875" style="152" bestFit="1" customWidth="1"/>
    <col min="6658" max="6658" width="16.6640625" style="152" customWidth="1"/>
    <col min="6659" max="6659" width="16.5546875" style="152" customWidth="1"/>
    <col min="6660" max="6660" width="20.44140625" style="152" customWidth="1"/>
    <col min="6661" max="6661" width="10.5546875" style="152" bestFit="1" customWidth="1"/>
    <col min="6662" max="6662" width="3.5546875" style="152" customWidth="1"/>
    <col min="6663" max="6912" width="8.88671875" style="152"/>
    <col min="6913" max="6913" width="2.5546875" style="152" bestFit="1" customWidth="1"/>
    <col min="6914" max="6914" width="16.6640625" style="152" customWidth="1"/>
    <col min="6915" max="6915" width="16.5546875" style="152" customWidth="1"/>
    <col min="6916" max="6916" width="20.44140625" style="152" customWidth="1"/>
    <col min="6917" max="6917" width="10.5546875" style="152" bestFit="1" customWidth="1"/>
    <col min="6918" max="6918" width="3.5546875" style="152" customWidth="1"/>
    <col min="6919" max="7168" width="8.88671875" style="152"/>
    <col min="7169" max="7169" width="2.5546875" style="152" bestFit="1" customWidth="1"/>
    <col min="7170" max="7170" width="16.6640625" style="152" customWidth="1"/>
    <col min="7171" max="7171" width="16.5546875" style="152" customWidth="1"/>
    <col min="7172" max="7172" width="20.44140625" style="152" customWidth="1"/>
    <col min="7173" max="7173" width="10.5546875" style="152" bestFit="1" customWidth="1"/>
    <col min="7174" max="7174" width="3.5546875" style="152" customWidth="1"/>
    <col min="7175" max="7424" width="8.88671875" style="152"/>
    <col min="7425" max="7425" width="2.5546875" style="152" bestFit="1" customWidth="1"/>
    <col min="7426" max="7426" width="16.6640625" style="152" customWidth="1"/>
    <col min="7427" max="7427" width="16.5546875" style="152" customWidth="1"/>
    <col min="7428" max="7428" width="20.44140625" style="152" customWidth="1"/>
    <col min="7429" max="7429" width="10.5546875" style="152" bestFit="1" customWidth="1"/>
    <col min="7430" max="7430" width="3.5546875" style="152" customWidth="1"/>
    <col min="7431" max="7680" width="8.88671875" style="152"/>
    <col min="7681" max="7681" width="2.5546875" style="152" bestFit="1" customWidth="1"/>
    <col min="7682" max="7682" width="16.6640625" style="152" customWidth="1"/>
    <col min="7683" max="7683" width="16.5546875" style="152" customWidth="1"/>
    <col min="7684" max="7684" width="20.44140625" style="152" customWidth="1"/>
    <col min="7685" max="7685" width="10.5546875" style="152" bestFit="1" customWidth="1"/>
    <col min="7686" max="7686" width="3.5546875" style="152" customWidth="1"/>
    <col min="7687" max="7936" width="8.88671875" style="152"/>
    <col min="7937" max="7937" width="2.5546875" style="152" bestFit="1" customWidth="1"/>
    <col min="7938" max="7938" width="16.6640625" style="152" customWidth="1"/>
    <col min="7939" max="7939" width="16.5546875" style="152" customWidth="1"/>
    <col min="7940" max="7940" width="20.44140625" style="152" customWidth="1"/>
    <col min="7941" max="7941" width="10.5546875" style="152" bestFit="1" customWidth="1"/>
    <col min="7942" max="7942" width="3.5546875" style="152" customWidth="1"/>
    <col min="7943" max="8192" width="8.88671875" style="152"/>
    <col min="8193" max="8193" width="2.5546875" style="152" bestFit="1" customWidth="1"/>
    <col min="8194" max="8194" width="16.6640625" style="152" customWidth="1"/>
    <col min="8195" max="8195" width="16.5546875" style="152" customWidth="1"/>
    <col min="8196" max="8196" width="20.44140625" style="152" customWidth="1"/>
    <col min="8197" max="8197" width="10.5546875" style="152" bestFit="1" customWidth="1"/>
    <col min="8198" max="8198" width="3.5546875" style="152" customWidth="1"/>
    <col min="8199" max="8448" width="8.88671875" style="152"/>
    <col min="8449" max="8449" width="2.5546875" style="152" bestFit="1" customWidth="1"/>
    <col min="8450" max="8450" width="16.6640625" style="152" customWidth="1"/>
    <col min="8451" max="8451" width="16.5546875" style="152" customWidth="1"/>
    <col min="8452" max="8452" width="20.44140625" style="152" customWidth="1"/>
    <col min="8453" max="8453" width="10.5546875" style="152" bestFit="1" customWidth="1"/>
    <col min="8454" max="8454" width="3.5546875" style="152" customWidth="1"/>
    <col min="8455" max="8704" width="8.88671875" style="152"/>
    <col min="8705" max="8705" width="2.5546875" style="152" bestFit="1" customWidth="1"/>
    <col min="8706" max="8706" width="16.6640625" style="152" customWidth="1"/>
    <col min="8707" max="8707" width="16.5546875" style="152" customWidth="1"/>
    <col min="8708" max="8708" width="20.44140625" style="152" customWidth="1"/>
    <col min="8709" max="8709" width="10.5546875" style="152" bestFit="1" customWidth="1"/>
    <col min="8710" max="8710" width="3.5546875" style="152" customWidth="1"/>
    <col min="8711" max="8960" width="8.88671875" style="152"/>
    <col min="8961" max="8961" width="2.5546875" style="152" bestFit="1" customWidth="1"/>
    <col min="8962" max="8962" width="16.6640625" style="152" customWidth="1"/>
    <col min="8963" max="8963" width="16.5546875" style="152" customWidth="1"/>
    <col min="8964" max="8964" width="20.44140625" style="152" customWidth="1"/>
    <col min="8965" max="8965" width="10.5546875" style="152" bestFit="1" customWidth="1"/>
    <col min="8966" max="8966" width="3.5546875" style="152" customWidth="1"/>
    <col min="8967" max="9216" width="8.88671875" style="152"/>
    <col min="9217" max="9217" width="2.5546875" style="152" bestFit="1" customWidth="1"/>
    <col min="9218" max="9218" width="16.6640625" style="152" customWidth="1"/>
    <col min="9219" max="9219" width="16.5546875" style="152" customWidth="1"/>
    <col min="9220" max="9220" width="20.44140625" style="152" customWidth="1"/>
    <col min="9221" max="9221" width="10.5546875" style="152" bestFit="1" customWidth="1"/>
    <col min="9222" max="9222" width="3.5546875" style="152" customWidth="1"/>
    <col min="9223" max="9472" width="8.88671875" style="152"/>
    <col min="9473" max="9473" width="2.5546875" style="152" bestFit="1" customWidth="1"/>
    <col min="9474" max="9474" width="16.6640625" style="152" customWidth="1"/>
    <col min="9475" max="9475" width="16.5546875" style="152" customWidth="1"/>
    <col min="9476" max="9476" width="20.44140625" style="152" customWidth="1"/>
    <col min="9477" max="9477" width="10.5546875" style="152" bestFit="1" customWidth="1"/>
    <col min="9478" max="9478" width="3.5546875" style="152" customWidth="1"/>
    <col min="9479" max="9728" width="8.88671875" style="152"/>
    <col min="9729" max="9729" width="2.5546875" style="152" bestFit="1" customWidth="1"/>
    <col min="9730" max="9730" width="16.6640625" style="152" customWidth="1"/>
    <col min="9731" max="9731" width="16.5546875" style="152" customWidth="1"/>
    <col min="9732" max="9732" width="20.44140625" style="152" customWidth="1"/>
    <col min="9733" max="9733" width="10.5546875" style="152" bestFit="1" customWidth="1"/>
    <col min="9734" max="9734" width="3.5546875" style="152" customWidth="1"/>
    <col min="9735" max="9984" width="8.88671875" style="152"/>
    <col min="9985" max="9985" width="2.5546875" style="152" bestFit="1" customWidth="1"/>
    <col min="9986" max="9986" width="16.6640625" style="152" customWidth="1"/>
    <col min="9987" max="9987" width="16.5546875" style="152" customWidth="1"/>
    <col min="9988" max="9988" width="20.44140625" style="152" customWidth="1"/>
    <col min="9989" max="9989" width="10.5546875" style="152" bestFit="1" customWidth="1"/>
    <col min="9990" max="9990" width="3.5546875" style="152" customWidth="1"/>
    <col min="9991" max="10240" width="8.88671875" style="152"/>
    <col min="10241" max="10241" width="2.5546875" style="152" bestFit="1" customWidth="1"/>
    <col min="10242" max="10242" width="16.6640625" style="152" customWidth="1"/>
    <col min="10243" max="10243" width="16.5546875" style="152" customWidth="1"/>
    <col min="10244" max="10244" width="20.44140625" style="152" customWidth="1"/>
    <col min="10245" max="10245" width="10.5546875" style="152" bestFit="1" customWidth="1"/>
    <col min="10246" max="10246" width="3.5546875" style="152" customWidth="1"/>
    <col min="10247" max="10496" width="8.88671875" style="152"/>
    <col min="10497" max="10497" width="2.5546875" style="152" bestFit="1" customWidth="1"/>
    <col min="10498" max="10498" width="16.6640625" style="152" customWidth="1"/>
    <col min="10499" max="10499" width="16.5546875" style="152" customWidth="1"/>
    <col min="10500" max="10500" width="20.44140625" style="152" customWidth="1"/>
    <col min="10501" max="10501" width="10.5546875" style="152" bestFit="1" customWidth="1"/>
    <col min="10502" max="10502" width="3.5546875" style="152" customWidth="1"/>
    <col min="10503" max="10752" width="8.88671875" style="152"/>
    <col min="10753" max="10753" width="2.5546875" style="152" bestFit="1" customWidth="1"/>
    <col min="10754" max="10754" width="16.6640625" style="152" customWidth="1"/>
    <col min="10755" max="10755" width="16.5546875" style="152" customWidth="1"/>
    <col min="10756" max="10756" width="20.44140625" style="152" customWidth="1"/>
    <col min="10757" max="10757" width="10.5546875" style="152" bestFit="1" customWidth="1"/>
    <col min="10758" max="10758" width="3.5546875" style="152" customWidth="1"/>
    <col min="10759" max="11008" width="8.88671875" style="152"/>
    <col min="11009" max="11009" width="2.5546875" style="152" bestFit="1" customWidth="1"/>
    <col min="11010" max="11010" width="16.6640625" style="152" customWidth="1"/>
    <col min="11011" max="11011" width="16.5546875" style="152" customWidth="1"/>
    <col min="11012" max="11012" width="20.44140625" style="152" customWidth="1"/>
    <col min="11013" max="11013" width="10.5546875" style="152" bestFit="1" customWidth="1"/>
    <col min="11014" max="11014" width="3.5546875" style="152" customWidth="1"/>
    <col min="11015" max="11264" width="8.88671875" style="152"/>
    <col min="11265" max="11265" width="2.5546875" style="152" bestFit="1" customWidth="1"/>
    <col min="11266" max="11266" width="16.6640625" style="152" customWidth="1"/>
    <col min="11267" max="11267" width="16.5546875" style="152" customWidth="1"/>
    <col min="11268" max="11268" width="20.44140625" style="152" customWidth="1"/>
    <col min="11269" max="11269" width="10.5546875" style="152" bestFit="1" customWidth="1"/>
    <col min="11270" max="11270" width="3.5546875" style="152" customWidth="1"/>
    <col min="11271" max="11520" width="8.88671875" style="152"/>
    <col min="11521" max="11521" width="2.5546875" style="152" bestFit="1" customWidth="1"/>
    <col min="11522" max="11522" width="16.6640625" style="152" customWidth="1"/>
    <col min="11523" max="11523" width="16.5546875" style="152" customWidth="1"/>
    <col min="11524" max="11524" width="20.44140625" style="152" customWidth="1"/>
    <col min="11525" max="11525" width="10.5546875" style="152" bestFit="1" customWidth="1"/>
    <col min="11526" max="11526" width="3.5546875" style="152" customWidth="1"/>
    <col min="11527" max="11776" width="8.88671875" style="152"/>
    <col min="11777" max="11777" width="2.5546875" style="152" bestFit="1" customWidth="1"/>
    <col min="11778" max="11778" width="16.6640625" style="152" customWidth="1"/>
    <col min="11779" max="11779" width="16.5546875" style="152" customWidth="1"/>
    <col min="11780" max="11780" width="20.44140625" style="152" customWidth="1"/>
    <col min="11781" max="11781" width="10.5546875" style="152" bestFit="1" customWidth="1"/>
    <col min="11782" max="11782" width="3.5546875" style="152" customWidth="1"/>
    <col min="11783" max="12032" width="8.88671875" style="152"/>
    <col min="12033" max="12033" width="2.5546875" style="152" bestFit="1" customWidth="1"/>
    <col min="12034" max="12034" width="16.6640625" style="152" customWidth="1"/>
    <col min="12035" max="12035" width="16.5546875" style="152" customWidth="1"/>
    <col min="12036" max="12036" width="20.44140625" style="152" customWidth="1"/>
    <col min="12037" max="12037" width="10.5546875" style="152" bestFit="1" customWidth="1"/>
    <col min="12038" max="12038" width="3.5546875" style="152" customWidth="1"/>
    <col min="12039" max="12288" width="8.88671875" style="152"/>
    <col min="12289" max="12289" width="2.5546875" style="152" bestFit="1" customWidth="1"/>
    <col min="12290" max="12290" width="16.6640625" style="152" customWidth="1"/>
    <col min="12291" max="12291" width="16.5546875" style="152" customWidth="1"/>
    <col min="12292" max="12292" width="20.44140625" style="152" customWidth="1"/>
    <col min="12293" max="12293" width="10.5546875" style="152" bestFit="1" customWidth="1"/>
    <col min="12294" max="12294" width="3.5546875" style="152" customWidth="1"/>
    <col min="12295" max="12544" width="8.88671875" style="152"/>
    <col min="12545" max="12545" width="2.5546875" style="152" bestFit="1" customWidth="1"/>
    <col min="12546" max="12546" width="16.6640625" style="152" customWidth="1"/>
    <col min="12547" max="12547" width="16.5546875" style="152" customWidth="1"/>
    <col min="12548" max="12548" width="20.44140625" style="152" customWidth="1"/>
    <col min="12549" max="12549" width="10.5546875" style="152" bestFit="1" customWidth="1"/>
    <col min="12550" max="12550" width="3.5546875" style="152" customWidth="1"/>
    <col min="12551" max="12800" width="8.88671875" style="152"/>
    <col min="12801" max="12801" width="2.5546875" style="152" bestFit="1" customWidth="1"/>
    <col min="12802" max="12802" width="16.6640625" style="152" customWidth="1"/>
    <col min="12803" max="12803" width="16.5546875" style="152" customWidth="1"/>
    <col min="12804" max="12804" width="20.44140625" style="152" customWidth="1"/>
    <col min="12805" max="12805" width="10.5546875" style="152" bestFit="1" customWidth="1"/>
    <col min="12806" max="12806" width="3.5546875" style="152" customWidth="1"/>
    <col min="12807" max="13056" width="8.88671875" style="152"/>
    <col min="13057" max="13057" width="2.5546875" style="152" bestFit="1" customWidth="1"/>
    <col min="13058" max="13058" width="16.6640625" style="152" customWidth="1"/>
    <col min="13059" max="13059" width="16.5546875" style="152" customWidth="1"/>
    <col min="13060" max="13060" width="20.44140625" style="152" customWidth="1"/>
    <col min="13061" max="13061" width="10.5546875" style="152" bestFit="1" customWidth="1"/>
    <col min="13062" max="13062" width="3.5546875" style="152" customWidth="1"/>
    <col min="13063" max="13312" width="8.88671875" style="152"/>
    <col min="13313" max="13313" width="2.5546875" style="152" bestFit="1" customWidth="1"/>
    <col min="13314" max="13314" width="16.6640625" style="152" customWidth="1"/>
    <col min="13315" max="13315" width="16.5546875" style="152" customWidth="1"/>
    <col min="13316" max="13316" width="20.44140625" style="152" customWidth="1"/>
    <col min="13317" max="13317" width="10.5546875" style="152" bestFit="1" customWidth="1"/>
    <col min="13318" max="13318" width="3.5546875" style="152" customWidth="1"/>
    <col min="13319" max="13568" width="8.88671875" style="152"/>
    <col min="13569" max="13569" width="2.5546875" style="152" bestFit="1" customWidth="1"/>
    <col min="13570" max="13570" width="16.6640625" style="152" customWidth="1"/>
    <col min="13571" max="13571" width="16.5546875" style="152" customWidth="1"/>
    <col min="13572" max="13572" width="20.44140625" style="152" customWidth="1"/>
    <col min="13573" max="13573" width="10.5546875" style="152" bestFit="1" customWidth="1"/>
    <col min="13574" max="13574" width="3.5546875" style="152" customWidth="1"/>
    <col min="13575" max="13824" width="8.88671875" style="152"/>
    <col min="13825" max="13825" width="2.5546875" style="152" bestFit="1" customWidth="1"/>
    <col min="13826" max="13826" width="16.6640625" style="152" customWidth="1"/>
    <col min="13827" max="13827" width="16.5546875" style="152" customWidth="1"/>
    <col min="13828" max="13828" width="20.44140625" style="152" customWidth="1"/>
    <col min="13829" max="13829" width="10.5546875" style="152" bestFit="1" customWidth="1"/>
    <col min="13830" max="13830" width="3.5546875" style="152" customWidth="1"/>
    <col min="13831" max="14080" width="8.88671875" style="152"/>
    <col min="14081" max="14081" width="2.5546875" style="152" bestFit="1" customWidth="1"/>
    <col min="14082" max="14082" width="16.6640625" style="152" customWidth="1"/>
    <col min="14083" max="14083" width="16.5546875" style="152" customWidth="1"/>
    <col min="14084" max="14084" width="20.44140625" style="152" customWidth="1"/>
    <col min="14085" max="14085" width="10.5546875" style="152" bestFit="1" customWidth="1"/>
    <col min="14086" max="14086" width="3.5546875" style="152" customWidth="1"/>
    <col min="14087" max="14336" width="8.88671875" style="152"/>
    <col min="14337" max="14337" width="2.5546875" style="152" bestFit="1" customWidth="1"/>
    <col min="14338" max="14338" width="16.6640625" style="152" customWidth="1"/>
    <col min="14339" max="14339" width="16.5546875" style="152" customWidth="1"/>
    <col min="14340" max="14340" width="20.44140625" style="152" customWidth="1"/>
    <col min="14341" max="14341" width="10.5546875" style="152" bestFit="1" customWidth="1"/>
    <col min="14342" max="14342" width="3.5546875" style="152" customWidth="1"/>
    <col min="14343" max="14592" width="8.88671875" style="152"/>
    <col min="14593" max="14593" width="2.5546875" style="152" bestFit="1" customWidth="1"/>
    <col min="14594" max="14594" width="16.6640625" style="152" customWidth="1"/>
    <col min="14595" max="14595" width="16.5546875" style="152" customWidth="1"/>
    <col min="14596" max="14596" width="20.44140625" style="152" customWidth="1"/>
    <col min="14597" max="14597" width="10.5546875" style="152" bestFit="1" customWidth="1"/>
    <col min="14598" max="14598" width="3.5546875" style="152" customWidth="1"/>
    <col min="14599" max="14848" width="8.88671875" style="152"/>
    <col min="14849" max="14849" width="2.5546875" style="152" bestFit="1" customWidth="1"/>
    <col min="14850" max="14850" width="16.6640625" style="152" customWidth="1"/>
    <col min="14851" max="14851" width="16.5546875" style="152" customWidth="1"/>
    <col min="14852" max="14852" width="20.44140625" style="152" customWidth="1"/>
    <col min="14853" max="14853" width="10.5546875" style="152" bestFit="1" customWidth="1"/>
    <col min="14854" max="14854" width="3.5546875" style="152" customWidth="1"/>
    <col min="14855" max="15104" width="8.88671875" style="152"/>
    <col min="15105" max="15105" width="2.5546875" style="152" bestFit="1" customWidth="1"/>
    <col min="15106" max="15106" width="16.6640625" style="152" customWidth="1"/>
    <col min="15107" max="15107" width="16.5546875" style="152" customWidth="1"/>
    <col min="15108" max="15108" width="20.44140625" style="152" customWidth="1"/>
    <col min="15109" max="15109" width="10.5546875" style="152" bestFit="1" customWidth="1"/>
    <col min="15110" max="15110" width="3.5546875" style="152" customWidth="1"/>
    <col min="15111" max="15360" width="8.88671875" style="152"/>
    <col min="15361" max="15361" width="2.5546875" style="152" bestFit="1" customWidth="1"/>
    <col min="15362" max="15362" width="16.6640625" style="152" customWidth="1"/>
    <col min="15363" max="15363" width="16.5546875" style="152" customWidth="1"/>
    <col min="15364" max="15364" width="20.44140625" style="152" customWidth="1"/>
    <col min="15365" max="15365" width="10.5546875" style="152" bestFit="1" customWidth="1"/>
    <col min="15366" max="15366" width="3.5546875" style="152" customWidth="1"/>
    <col min="15367" max="15616" width="8.88671875" style="152"/>
    <col min="15617" max="15617" width="2.5546875" style="152" bestFit="1" customWidth="1"/>
    <col min="15618" max="15618" width="16.6640625" style="152" customWidth="1"/>
    <col min="15619" max="15619" width="16.5546875" style="152" customWidth="1"/>
    <col min="15620" max="15620" width="20.44140625" style="152" customWidth="1"/>
    <col min="15621" max="15621" width="10.5546875" style="152" bestFit="1" customWidth="1"/>
    <col min="15622" max="15622" width="3.5546875" style="152" customWidth="1"/>
    <col min="15623" max="15872" width="8.88671875" style="152"/>
    <col min="15873" max="15873" width="2.5546875" style="152" bestFit="1" customWidth="1"/>
    <col min="15874" max="15874" width="16.6640625" style="152" customWidth="1"/>
    <col min="15875" max="15875" width="16.5546875" style="152" customWidth="1"/>
    <col min="15876" max="15876" width="20.44140625" style="152" customWidth="1"/>
    <col min="15877" max="15877" width="10.5546875" style="152" bestFit="1" customWidth="1"/>
    <col min="15878" max="15878" width="3.5546875" style="152" customWidth="1"/>
    <col min="15879" max="16128" width="8.88671875" style="152"/>
    <col min="16129" max="16129" width="2.5546875" style="152" bestFit="1" customWidth="1"/>
    <col min="16130" max="16130" width="16.6640625" style="152" customWidth="1"/>
    <col min="16131" max="16131" width="16.5546875" style="152" customWidth="1"/>
    <col min="16132" max="16132" width="20.44140625" style="152" customWidth="1"/>
    <col min="16133" max="16133" width="10.5546875" style="152" bestFit="1" customWidth="1"/>
    <col min="16134" max="16134" width="3.5546875" style="152" customWidth="1"/>
    <col min="16135" max="16384" width="8.88671875" style="152"/>
  </cols>
  <sheetData>
    <row r="1" spans="1:6" x14ac:dyDescent="0.25">
      <c r="A1" s="149" t="str">
        <f t="shared" ref="A1:A7" si="0">ROW()&amp;")"</f>
        <v>1)</v>
      </c>
      <c r="B1" s="150" t="s">
        <v>265</v>
      </c>
      <c r="C1" s="151"/>
      <c r="D1" s="151"/>
      <c r="E1" s="151"/>
      <c r="F1" s="151"/>
    </row>
    <row r="2" spans="1:6" ht="39.6" x14ac:dyDescent="0.25">
      <c r="A2" s="149" t="str">
        <f t="shared" si="0"/>
        <v>2)</v>
      </c>
      <c r="B2" s="150" t="s">
        <v>266</v>
      </c>
      <c r="C2" s="151"/>
      <c r="D2" s="151"/>
      <c r="E2" s="151"/>
      <c r="F2" s="151"/>
    </row>
    <row r="3" spans="1:6" ht="26.4" x14ac:dyDescent="0.25">
      <c r="A3" s="149" t="str">
        <f t="shared" si="0"/>
        <v>3)</v>
      </c>
      <c r="B3" s="150" t="s">
        <v>267</v>
      </c>
      <c r="C3" s="151"/>
      <c r="D3" s="151"/>
      <c r="E3" s="151"/>
      <c r="F3" s="151"/>
    </row>
    <row r="4" spans="1:6" ht="26.4" x14ac:dyDescent="0.25">
      <c r="A4" s="149" t="str">
        <f t="shared" si="0"/>
        <v>4)</v>
      </c>
      <c r="B4" s="150" t="s">
        <v>268</v>
      </c>
      <c r="C4" s="151"/>
      <c r="D4" s="151"/>
      <c r="E4" s="151"/>
      <c r="F4" s="151"/>
    </row>
    <row r="5" spans="1:6" ht="39.6" x14ac:dyDescent="0.25">
      <c r="A5" s="149" t="str">
        <f t="shared" si="0"/>
        <v>5)</v>
      </c>
      <c r="B5" s="150" t="s">
        <v>269</v>
      </c>
      <c r="C5" s="151"/>
      <c r="D5" s="151"/>
      <c r="E5" s="151"/>
      <c r="F5" s="151"/>
    </row>
    <row r="6" spans="1:6" ht="52.8" x14ac:dyDescent="0.25">
      <c r="A6" s="149" t="str">
        <f t="shared" si="0"/>
        <v>6)</v>
      </c>
      <c r="B6" s="150" t="s">
        <v>270</v>
      </c>
      <c r="C6" s="151"/>
      <c r="D6" s="151"/>
      <c r="E6" s="151"/>
      <c r="F6" s="151"/>
    </row>
    <row r="7" spans="1:6" ht="39.6" x14ac:dyDescent="0.25">
      <c r="A7" s="149" t="str">
        <f t="shared" si="0"/>
        <v>7)</v>
      </c>
      <c r="B7" s="150" t="s">
        <v>271</v>
      </c>
      <c r="C7" s="151"/>
      <c r="D7" s="151"/>
      <c r="E7" s="151"/>
      <c r="F7" s="151"/>
    </row>
    <row r="8" spans="1:6" ht="13.8" thickBot="1" x14ac:dyDescent="0.3"/>
    <row r="9" spans="1:6" ht="27.6" thickTop="1" thickBot="1" x14ac:dyDescent="0.3">
      <c r="A9" s="153">
        <v>1</v>
      </c>
      <c r="B9" s="175" t="str">
        <f>"Borrower Point of View: At an "&amp;D10&amp;" of "&amp;TEXT(E10,"0.00%")&amp;" the monthly PMT paid = "&amp;DOLLAR(C13)</f>
        <v>Borrower Point of View: At an Annual Interest Rate of 6.50% the monthly PMT paid = ($485.22)</v>
      </c>
      <c r="C9" s="175"/>
      <c r="D9" s="175"/>
      <c r="E9" s="175"/>
    </row>
    <row r="10" spans="1:6" ht="13.8" thickTop="1" x14ac:dyDescent="0.25">
      <c r="B10" s="154" t="s">
        <v>272</v>
      </c>
      <c r="C10" s="155">
        <v>34799</v>
      </c>
      <c r="D10" s="154" t="s">
        <v>9</v>
      </c>
      <c r="E10" s="156">
        <v>6.5000000000000002E-2</v>
      </c>
    </row>
    <row r="11" spans="1:6" x14ac:dyDescent="0.25">
      <c r="B11" s="157" t="s">
        <v>273</v>
      </c>
      <c r="C11" s="158">
        <v>10000</v>
      </c>
      <c r="D11" s="159" t="s">
        <v>274</v>
      </c>
      <c r="E11" s="160">
        <f>E10/E14</f>
        <v>5.4166666666666669E-3</v>
      </c>
    </row>
    <row r="12" spans="1:6" x14ac:dyDescent="0.25">
      <c r="B12" s="159" t="s">
        <v>275</v>
      </c>
      <c r="C12" s="161">
        <f>C10-C11</f>
        <v>24799</v>
      </c>
      <c r="D12" s="159" t="s">
        <v>276</v>
      </c>
      <c r="E12" s="162">
        <v>5</v>
      </c>
    </row>
    <row r="13" spans="1:6" x14ac:dyDescent="0.25">
      <c r="B13" s="159" t="s">
        <v>277</v>
      </c>
      <c r="C13" s="161">
        <f>PMT(E11,E13,C12)</f>
        <v>-485.22090967624911</v>
      </c>
      <c r="D13" s="159" t="s">
        <v>278</v>
      </c>
      <c r="E13" s="163">
        <f>E12*E14</f>
        <v>60</v>
      </c>
    </row>
    <row r="14" spans="1:6" x14ac:dyDescent="0.25">
      <c r="B14" s="159" t="s">
        <v>279</v>
      </c>
      <c r="C14" s="158">
        <f>-C12/((1-(1+E10/E14)^(-E12*E14))/(E10/E14))</f>
        <v>-485.22090967625377</v>
      </c>
      <c r="D14" s="157" t="s">
        <v>280</v>
      </c>
      <c r="E14" s="162">
        <v>12</v>
      </c>
    </row>
    <row r="15" spans="1:6" x14ac:dyDescent="0.25">
      <c r="B15" s="157" t="s">
        <v>281</v>
      </c>
      <c r="C15" s="161">
        <f>PMT(E11,E13,C12,,1)</f>
        <v>-482.60678956609939</v>
      </c>
      <c r="D15" s="157" t="s">
        <v>282</v>
      </c>
      <c r="E15" s="162">
        <v>1</v>
      </c>
    </row>
    <row r="16" spans="1:6" ht="13.8" thickBot="1" x14ac:dyDescent="0.3">
      <c r="B16" s="164"/>
      <c r="C16" s="165"/>
      <c r="D16" s="164"/>
    </row>
    <row r="17" spans="1:5" ht="27.6" thickTop="1" thickBot="1" x14ac:dyDescent="0.3">
      <c r="A17" s="153">
        <v>2</v>
      </c>
      <c r="B17" s="175" t="str">
        <f>"Lender Point of view: At an "&amp;D18&amp;" of "&amp;TEXT(E18,"0.00%")&amp;" the monthly PMT received = "&amp;DOLLAR(C21)</f>
        <v>Lender Point of view: At an Annual Interest Rate of 6.50% the monthly PMT received = $485.22</v>
      </c>
      <c r="C17" s="175"/>
      <c r="D17" s="175"/>
      <c r="E17" s="175"/>
    </row>
    <row r="18" spans="1:5" ht="13.8" thickTop="1" x14ac:dyDescent="0.25">
      <c r="B18" s="154" t="s">
        <v>272</v>
      </c>
      <c r="C18" s="155">
        <f>C10</f>
        <v>34799</v>
      </c>
      <c r="D18" s="154" t="s">
        <v>9</v>
      </c>
      <c r="E18" s="156">
        <f>E10</f>
        <v>6.5000000000000002E-2</v>
      </c>
    </row>
    <row r="19" spans="1:5" x14ac:dyDescent="0.25">
      <c r="B19" s="157" t="s">
        <v>273</v>
      </c>
      <c r="C19" s="158">
        <f>C11</f>
        <v>10000</v>
      </c>
      <c r="D19" s="159" t="s">
        <v>274</v>
      </c>
      <c r="E19" s="166">
        <f>E18/E22</f>
        <v>5.4166666666666669E-3</v>
      </c>
    </row>
    <row r="20" spans="1:5" x14ac:dyDescent="0.25">
      <c r="B20" s="159" t="s">
        <v>275</v>
      </c>
      <c r="C20" s="167">
        <f>-(C18-C19)</f>
        <v>-24799</v>
      </c>
      <c r="D20" s="159" t="s">
        <v>276</v>
      </c>
      <c r="E20" s="162">
        <f>E12</f>
        <v>5</v>
      </c>
    </row>
    <row r="21" spans="1:5" x14ac:dyDescent="0.25">
      <c r="B21" s="159" t="s">
        <v>279</v>
      </c>
      <c r="C21" s="168">
        <f>PMT(E19,E21,C20)</f>
        <v>485.22090967624911</v>
      </c>
      <c r="D21" s="159" t="s">
        <v>278</v>
      </c>
      <c r="E21" s="169">
        <f>E20*E22</f>
        <v>60</v>
      </c>
    </row>
    <row r="22" spans="1:5" x14ac:dyDescent="0.25">
      <c r="B22" s="159" t="s">
        <v>279</v>
      </c>
      <c r="C22" s="158">
        <f>-(C20/((1-(1+E18/E22)^(-E20*E22))/(E18/E22)))</f>
        <v>485.22090967625377</v>
      </c>
      <c r="D22" s="157" t="s">
        <v>280</v>
      </c>
      <c r="E22" s="162">
        <f>E14</f>
        <v>12</v>
      </c>
    </row>
    <row r="23" spans="1:5" ht="13.8" thickBot="1" x14ac:dyDescent="0.3"/>
    <row r="24" spans="1:5" ht="40.799999999999997" thickTop="1" thickBot="1" x14ac:dyDescent="0.3">
      <c r="A24" s="153">
        <v>3</v>
      </c>
      <c r="B24" s="175" t="str">
        <f>"At an "&amp;D25&amp;" of "&amp;TEXT(E25,"0.00%")&amp;" and a balloon payment of "&amp;DOLLAR(-C28)&amp;" at the end of "&amp;E28&amp;" months, the monthly PMT = "&amp;DOLLAR(PMT(E26,E28,C27,C28))&amp;" - Borrower's Point of View."</f>
        <v>At an Annual Interest Rate of 5.25% and a balloon payment of $5,000.00 at the end of 36 months, the monthly PMT = ($1,225.21) - Borrower's Point of View.</v>
      </c>
      <c r="C24" s="175"/>
      <c r="D24" s="175"/>
      <c r="E24" s="175"/>
    </row>
    <row r="25" spans="1:5" ht="13.8" thickTop="1" x14ac:dyDescent="0.25">
      <c r="B25" s="154" t="s">
        <v>272</v>
      </c>
      <c r="C25" s="155">
        <v>50000</v>
      </c>
      <c r="D25" s="154" t="s">
        <v>9</v>
      </c>
      <c r="E25" s="156">
        <v>5.2499999999999998E-2</v>
      </c>
    </row>
    <row r="26" spans="1:5" x14ac:dyDescent="0.25">
      <c r="B26" s="157" t="s">
        <v>273</v>
      </c>
      <c r="C26" s="158">
        <v>5000</v>
      </c>
      <c r="D26" s="159" t="s">
        <v>274</v>
      </c>
      <c r="E26" s="166">
        <f>E25/E29</f>
        <v>4.3749999999999995E-3</v>
      </c>
    </row>
    <row r="27" spans="1:5" x14ac:dyDescent="0.25">
      <c r="B27" s="157" t="s">
        <v>275</v>
      </c>
      <c r="C27" s="158">
        <f>C25-C26</f>
        <v>45000</v>
      </c>
      <c r="D27" s="159" t="s">
        <v>276</v>
      </c>
      <c r="E27" s="162">
        <v>3</v>
      </c>
    </row>
    <row r="28" spans="1:5" x14ac:dyDescent="0.25">
      <c r="B28" s="162" t="s">
        <v>283</v>
      </c>
      <c r="C28" s="158">
        <v>-5000</v>
      </c>
      <c r="D28" s="159" t="s">
        <v>278</v>
      </c>
      <c r="E28" s="169">
        <f>E27*E29</f>
        <v>36</v>
      </c>
    </row>
    <row r="29" spans="1:5" x14ac:dyDescent="0.25">
      <c r="B29" s="159" t="s">
        <v>279</v>
      </c>
      <c r="C29" s="161">
        <f>PMT(E26,E28,C27,C28)</f>
        <v>-1225.2058205856481</v>
      </c>
      <c r="D29" s="157" t="s">
        <v>280</v>
      </c>
      <c r="E29" s="162">
        <v>12</v>
      </c>
    </row>
    <row r="30" spans="1:5" ht="13.8" thickBot="1" x14ac:dyDescent="0.3"/>
    <row r="31" spans="1:5" ht="27.6" thickTop="1" thickBot="1" x14ac:dyDescent="0.3">
      <c r="A31" s="153">
        <v>4</v>
      </c>
      <c r="B31" s="175" t="str">
        <f>"At an "&amp;D32&amp;" of "&amp;TEXT(E32,"0.00%")&amp;" and no payments during the first year, the PMT = "&amp;DOLLAR(C36)&amp;" - Borrower's Point of View."</f>
        <v>At an Annual Interest Rate of 8.50% and no payments during the first year, the PMT = ($67,328.25) - Borrower's Point of View.</v>
      </c>
      <c r="C31" s="175"/>
      <c r="D31" s="175"/>
      <c r="E31" s="175"/>
    </row>
    <row r="32" spans="1:5" ht="13.8" thickTop="1" x14ac:dyDescent="0.25">
      <c r="B32" s="154" t="s">
        <v>275</v>
      </c>
      <c r="C32" s="155">
        <v>1000000</v>
      </c>
      <c r="D32" s="154" t="s">
        <v>9</v>
      </c>
      <c r="E32" s="156">
        <v>8.5000000000000006E-2</v>
      </c>
    </row>
    <row r="33" spans="1:9" ht="26.4" x14ac:dyDescent="0.25">
      <c r="B33" s="171" t="s">
        <v>284</v>
      </c>
      <c r="C33" s="170">
        <v>1</v>
      </c>
      <c r="D33" s="159" t="s">
        <v>285</v>
      </c>
      <c r="E33" s="166">
        <f>E32/E36</f>
        <v>2.1250000000000002E-2</v>
      </c>
    </row>
    <row r="34" spans="1:9" x14ac:dyDescent="0.25">
      <c r="B34" s="157" t="s">
        <v>286</v>
      </c>
      <c r="C34" s="161">
        <f>FV(E33,E36*C33,,C32)</f>
        <v>-1087747.9617211912</v>
      </c>
      <c r="D34" s="159" t="s">
        <v>276</v>
      </c>
      <c r="E34" s="176">
        <v>6</v>
      </c>
    </row>
    <row r="35" spans="1:9" x14ac:dyDescent="0.25">
      <c r="B35" s="159" t="s">
        <v>287</v>
      </c>
      <c r="C35" s="172">
        <f>PMT(E33,(E34-C33)*E36,-C34)</f>
        <v>-67328.250185892379</v>
      </c>
      <c r="D35" s="159" t="s">
        <v>12</v>
      </c>
      <c r="E35" s="169">
        <f>E34*E36</f>
        <v>24</v>
      </c>
    </row>
    <row r="36" spans="1:9" x14ac:dyDescent="0.25">
      <c r="B36" s="159" t="s">
        <v>287</v>
      </c>
      <c r="C36" s="158">
        <f>PMT(E33,(E34-C33)*E36,FV(E33,C33*E36,,-C32))</f>
        <v>-67328.250185892379</v>
      </c>
      <c r="D36" s="157" t="s">
        <v>280</v>
      </c>
      <c r="E36" s="162">
        <v>4</v>
      </c>
      <c r="H36" s="152" t="s">
        <v>88</v>
      </c>
      <c r="I36" s="152">
        <f>C32*(1+E33)^E36</f>
        <v>1087747.9617211912</v>
      </c>
    </row>
    <row r="37" spans="1:9" ht="13.8" thickBot="1" x14ac:dyDescent="0.3"/>
    <row r="38" spans="1:9" ht="13.8" thickTop="1" x14ac:dyDescent="0.25">
      <c r="A38" s="153">
        <v>5</v>
      </c>
      <c r="B38" s="177" t="s">
        <v>301</v>
      </c>
      <c r="C38" s="177"/>
      <c r="D38" s="177"/>
      <c r="E38" s="177"/>
    </row>
    <row r="39" spans="1:9" x14ac:dyDescent="0.25">
      <c r="B39" s="159" t="s">
        <v>275</v>
      </c>
      <c r="C39" s="158">
        <v>200000</v>
      </c>
      <c r="D39" s="159" t="s">
        <v>276</v>
      </c>
      <c r="E39" s="176">
        <v>30</v>
      </c>
    </row>
    <row r="40" spans="1:9" x14ac:dyDescent="0.25">
      <c r="B40" s="159" t="s">
        <v>9</v>
      </c>
      <c r="C40" s="181">
        <v>0.05</v>
      </c>
      <c r="D40" s="157" t="s">
        <v>280</v>
      </c>
      <c r="E40" s="162">
        <v>12</v>
      </c>
    </row>
    <row r="41" spans="1:9" x14ac:dyDescent="0.25">
      <c r="B41" s="159" t="s">
        <v>285</v>
      </c>
      <c r="C41" s="180">
        <f>C40/E40</f>
        <v>4.1666666666666666E-3</v>
      </c>
      <c r="D41" s="162" t="s">
        <v>288</v>
      </c>
      <c r="E41" s="162">
        <v>0.01</v>
      </c>
      <c r="G41" s="152">
        <v>1</v>
      </c>
    </row>
    <row r="42" spans="1:9" x14ac:dyDescent="0.25">
      <c r="B42" s="159" t="s">
        <v>12</v>
      </c>
      <c r="C42" s="169">
        <f>E39*E40</f>
        <v>360</v>
      </c>
      <c r="D42" s="162" t="s">
        <v>300</v>
      </c>
      <c r="E42" s="162">
        <v>750</v>
      </c>
    </row>
    <row r="43" spans="1:9" x14ac:dyDescent="0.25">
      <c r="B43" s="159" t="s">
        <v>145</v>
      </c>
      <c r="C43" s="167">
        <f>PMT(C41,C42,C39)</f>
        <v>-1073.6432460242781</v>
      </c>
    </row>
    <row r="44" spans="1:9" x14ac:dyDescent="0.25">
      <c r="B44" s="162" t="s">
        <v>289</v>
      </c>
      <c r="C44" s="178">
        <f>C39*(1-E41)-E42</f>
        <v>197250</v>
      </c>
    </row>
    <row r="45" spans="1:9" ht="14.4" x14ac:dyDescent="0.3">
      <c r="B45" s="162" t="s">
        <v>11</v>
      </c>
      <c r="C45" s="179">
        <f>RATE(C42,C43,C44)</f>
        <v>4.2683797768953086E-3</v>
      </c>
      <c r="D45"/>
      <c r="E45"/>
    </row>
    <row r="46" spans="1:9" ht="14.4" x14ac:dyDescent="0.3">
      <c r="B46" s="162" t="s">
        <v>290</v>
      </c>
      <c r="C46" s="179">
        <f>C45*E40</f>
        <v>5.1220557322743707E-2</v>
      </c>
      <c r="D46"/>
      <c r="E46"/>
    </row>
  </sheetData>
  <conditionalFormatting sqref="C14 C22">
    <cfRule type="expression" dxfId="1" priority="2" stopIfTrue="1">
      <formula>C13=""</formula>
    </cfRule>
  </conditionalFormatting>
  <conditionalFormatting sqref="C36">
    <cfRule type="expression" dxfId="0" priority="1" stopIfTrue="1">
      <formula>$C$35=""</formula>
    </cfRule>
  </conditionalFormatting>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2"/>
  <sheetViews>
    <sheetView zoomScale="115" zoomScaleNormal="115" workbookViewId="0">
      <selection activeCell="B9" sqref="B9"/>
    </sheetView>
  </sheetViews>
  <sheetFormatPr defaultRowHeight="14.4" x14ac:dyDescent="0.3"/>
  <cols>
    <col min="1" max="1" width="35.44140625" bestFit="1" customWidth="1"/>
    <col min="2" max="2" width="11.5546875" bestFit="1" customWidth="1"/>
    <col min="257" max="257" width="35.44140625" bestFit="1" customWidth="1"/>
    <col min="258" max="258" width="11.5546875" bestFit="1" customWidth="1"/>
    <col min="513" max="513" width="35.44140625" bestFit="1" customWidth="1"/>
    <col min="514" max="514" width="11.5546875" bestFit="1" customWidth="1"/>
    <col min="769" max="769" width="35.44140625" bestFit="1" customWidth="1"/>
    <col min="770" max="770" width="11.5546875" bestFit="1" customWidth="1"/>
    <col min="1025" max="1025" width="35.44140625" bestFit="1" customWidth="1"/>
    <col min="1026" max="1026" width="11.5546875" bestFit="1" customWidth="1"/>
    <col min="1281" max="1281" width="35.44140625" bestFit="1" customWidth="1"/>
    <col min="1282" max="1282" width="11.5546875" bestFit="1" customWidth="1"/>
    <col min="1537" max="1537" width="35.44140625" bestFit="1" customWidth="1"/>
    <col min="1538" max="1538" width="11.5546875" bestFit="1" customWidth="1"/>
    <col min="1793" max="1793" width="35.44140625" bestFit="1" customWidth="1"/>
    <col min="1794" max="1794" width="11.5546875" bestFit="1" customWidth="1"/>
    <col min="2049" max="2049" width="35.44140625" bestFit="1" customWidth="1"/>
    <col min="2050" max="2050" width="11.5546875" bestFit="1" customWidth="1"/>
    <col min="2305" max="2305" width="35.44140625" bestFit="1" customWidth="1"/>
    <col min="2306" max="2306" width="11.5546875" bestFit="1" customWidth="1"/>
    <col min="2561" max="2561" width="35.44140625" bestFit="1" customWidth="1"/>
    <col min="2562" max="2562" width="11.5546875" bestFit="1" customWidth="1"/>
    <col min="2817" max="2817" width="35.44140625" bestFit="1" customWidth="1"/>
    <col min="2818" max="2818" width="11.5546875" bestFit="1" customWidth="1"/>
    <col min="3073" max="3073" width="35.44140625" bestFit="1" customWidth="1"/>
    <col min="3074" max="3074" width="11.5546875" bestFit="1" customWidth="1"/>
    <col min="3329" max="3329" width="35.44140625" bestFit="1" customWidth="1"/>
    <col min="3330" max="3330" width="11.5546875" bestFit="1" customWidth="1"/>
    <col min="3585" max="3585" width="35.44140625" bestFit="1" customWidth="1"/>
    <col min="3586" max="3586" width="11.5546875" bestFit="1" customWidth="1"/>
    <col min="3841" max="3841" width="35.44140625" bestFit="1" customWidth="1"/>
    <col min="3842" max="3842" width="11.5546875" bestFit="1" customWidth="1"/>
    <col min="4097" max="4097" width="35.44140625" bestFit="1" customWidth="1"/>
    <col min="4098" max="4098" width="11.5546875" bestFit="1" customWidth="1"/>
    <col min="4353" max="4353" width="35.44140625" bestFit="1" customWidth="1"/>
    <col min="4354" max="4354" width="11.5546875" bestFit="1" customWidth="1"/>
    <col min="4609" max="4609" width="35.44140625" bestFit="1" customWidth="1"/>
    <col min="4610" max="4610" width="11.5546875" bestFit="1" customWidth="1"/>
    <col min="4865" max="4865" width="35.44140625" bestFit="1" customWidth="1"/>
    <col min="4866" max="4866" width="11.5546875" bestFit="1" customWidth="1"/>
    <col min="5121" max="5121" width="35.44140625" bestFit="1" customWidth="1"/>
    <col min="5122" max="5122" width="11.5546875" bestFit="1" customWidth="1"/>
    <col min="5377" max="5377" width="35.44140625" bestFit="1" customWidth="1"/>
    <col min="5378" max="5378" width="11.5546875" bestFit="1" customWidth="1"/>
    <col min="5633" max="5633" width="35.44140625" bestFit="1" customWidth="1"/>
    <col min="5634" max="5634" width="11.5546875" bestFit="1" customWidth="1"/>
    <col min="5889" max="5889" width="35.44140625" bestFit="1" customWidth="1"/>
    <col min="5890" max="5890" width="11.5546875" bestFit="1" customWidth="1"/>
    <col min="6145" max="6145" width="35.44140625" bestFit="1" customWidth="1"/>
    <col min="6146" max="6146" width="11.5546875" bestFit="1" customWidth="1"/>
    <col min="6401" max="6401" width="35.44140625" bestFit="1" customWidth="1"/>
    <col min="6402" max="6402" width="11.5546875" bestFit="1" customWidth="1"/>
    <col min="6657" max="6657" width="35.44140625" bestFit="1" customWidth="1"/>
    <col min="6658" max="6658" width="11.5546875" bestFit="1" customWidth="1"/>
    <col min="6913" max="6913" width="35.44140625" bestFit="1" customWidth="1"/>
    <col min="6914" max="6914" width="11.5546875" bestFit="1" customWidth="1"/>
    <col min="7169" max="7169" width="35.44140625" bestFit="1" customWidth="1"/>
    <col min="7170" max="7170" width="11.5546875" bestFit="1" customWidth="1"/>
    <col min="7425" max="7425" width="35.44140625" bestFit="1" customWidth="1"/>
    <col min="7426" max="7426" width="11.5546875" bestFit="1" customWidth="1"/>
    <col min="7681" max="7681" width="35.44140625" bestFit="1" customWidth="1"/>
    <col min="7682" max="7682" width="11.5546875" bestFit="1" customWidth="1"/>
    <col min="7937" max="7937" width="35.44140625" bestFit="1" customWidth="1"/>
    <col min="7938" max="7938" width="11.5546875" bestFit="1" customWidth="1"/>
    <col min="8193" max="8193" width="35.44140625" bestFit="1" customWidth="1"/>
    <col min="8194" max="8194" width="11.5546875" bestFit="1" customWidth="1"/>
    <col min="8449" max="8449" width="35.44140625" bestFit="1" customWidth="1"/>
    <col min="8450" max="8450" width="11.5546875" bestFit="1" customWidth="1"/>
    <col min="8705" max="8705" width="35.44140625" bestFit="1" customWidth="1"/>
    <col min="8706" max="8706" width="11.5546875" bestFit="1" customWidth="1"/>
    <col min="8961" max="8961" width="35.44140625" bestFit="1" customWidth="1"/>
    <col min="8962" max="8962" width="11.5546875" bestFit="1" customWidth="1"/>
    <col min="9217" max="9217" width="35.44140625" bestFit="1" customWidth="1"/>
    <col min="9218" max="9218" width="11.5546875" bestFit="1" customWidth="1"/>
    <col min="9473" max="9473" width="35.44140625" bestFit="1" customWidth="1"/>
    <col min="9474" max="9474" width="11.5546875" bestFit="1" customWidth="1"/>
    <col min="9729" max="9729" width="35.44140625" bestFit="1" customWidth="1"/>
    <col min="9730" max="9730" width="11.5546875" bestFit="1" customWidth="1"/>
    <col min="9985" max="9985" width="35.44140625" bestFit="1" customWidth="1"/>
    <col min="9986" max="9986" width="11.5546875" bestFit="1" customWidth="1"/>
    <col min="10241" max="10241" width="35.44140625" bestFit="1" customWidth="1"/>
    <col min="10242" max="10242" width="11.5546875" bestFit="1" customWidth="1"/>
    <col min="10497" max="10497" width="35.44140625" bestFit="1" customWidth="1"/>
    <col min="10498" max="10498" width="11.5546875" bestFit="1" customWidth="1"/>
    <col min="10753" max="10753" width="35.44140625" bestFit="1" customWidth="1"/>
    <col min="10754" max="10754" width="11.5546875" bestFit="1" customWidth="1"/>
    <col min="11009" max="11009" width="35.44140625" bestFit="1" customWidth="1"/>
    <col min="11010" max="11010" width="11.5546875" bestFit="1" customWidth="1"/>
    <col min="11265" max="11265" width="35.44140625" bestFit="1" customWidth="1"/>
    <col min="11266" max="11266" width="11.5546875" bestFit="1" customWidth="1"/>
    <col min="11521" max="11521" width="35.44140625" bestFit="1" customWidth="1"/>
    <col min="11522" max="11522" width="11.5546875" bestFit="1" customWidth="1"/>
    <col min="11777" max="11777" width="35.44140625" bestFit="1" customWidth="1"/>
    <col min="11778" max="11778" width="11.5546875" bestFit="1" customWidth="1"/>
    <col min="12033" max="12033" width="35.44140625" bestFit="1" customWidth="1"/>
    <col min="12034" max="12034" width="11.5546875" bestFit="1" customWidth="1"/>
    <col min="12289" max="12289" width="35.44140625" bestFit="1" customWidth="1"/>
    <col min="12290" max="12290" width="11.5546875" bestFit="1" customWidth="1"/>
    <col min="12545" max="12545" width="35.44140625" bestFit="1" customWidth="1"/>
    <col min="12546" max="12546" width="11.5546875" bestFit="1" customWidth="1"/>
    <col min="12801" max="12801" width="35.44140625" bestFit="1" customWidth="1"/>
    <col min="12802" max="12802" width="11.5546875" bestFit="1" customWidth="1"/>
    <col min="13057" max="13057" width="35.44140625" bestFit="1" customWidth="1"/>
    <col min="13058" max="13058" width="11.5546875" bestFit="1" customWidth="1"/>
    <col min="13313" max="13313" width="35.44140625" bestFit="1" customWidth="1"/>
    <col min="13314" max="13314" width="11.5546875" bestFit="1" customWidth="1"/>
    <col min="13569" max="13569" width="35.44140625" bestFit="1" customWidth="1"/>
    <col min="13570" max="13570" width="11.5546875" bestFit="1" customWidth="1"/>
    <col min="13825" max="13825" width="35.44140625" bestFit="1" customWidth="1"/>
    <col min="13826" max="13826" width="11.5546875" bestFit="1" customWidth="1"/>
    <col min="14081" max="14081" width="35.44140625" bestFit="1" customWidth="1"/>
    <col min="14082" max="14082" width="11.5546875" bestFit="1" customWidth="1"/>
    <col min="14337" max="14337" width="35.44140625" bestFit="1" customWidth="1"/>
    <col min="14338" max="14338" width="11.5546875" bestFit="1" customWidth="1"/>
    <col min="14593" max="14593" width="35.44140625" bestFit="1" customWidth="1"/>
    <col min="14594" max="14594" width="11.5546875" bestFit="1" customWidth="1"/>
    <col min="14849" max="14849" width="35.44140625" bestFit="1" customWidth="1"/>
    <col min="14850" max="14850" width="11.5546875" bestFit="1" customWidth="1"/>
    <col min="15105" max="15105" width="35.44140625" bestFit="1" customWidth="1"/>
    <col min="15106" max="15106" width="11.5546875" bestFit="1" customWidth="1"/>
    <col min="15361" max="15361" width="35.44140625" bestFit="1" customWidth="1"/>
    <col min="15362" max="15362" width="11.5546875" bestFit="1" customWidth="1"/>
    <col min="15617" max="15617" width="35.44140625" bestFit="1" customWidth="1"/>
    <col min="15618" max="15618" width="11.5546875" bestFit="1" customWidth="1"/>
    <col min="15873" max="15873" width="35.44140625" bestFit="1" customWidth="1"/>
    <col min="15874" max="15874" width="11.5546875" bestFit="1" customWidth="1"/>
    <col min="16129" max="16129" width="35.44140625" bestFit="1" customWidth="1"/>
    <col min="16130" max="16130" width="11.5546875" bestFit="1" customWidth="1"/>
  </cols>
  <sheetData>
    <row r="1" spans="1:5" ht="57.6" x14ac:dyDescent="0.3">
      <c r="A1" s="173" t="str">
        <f>"If your retirement account shows "&amp;DOLLAR(B2)&amp;" on the day that you retire and you plan to live to be "&amp;B6&amp;" (you are "&amp;B5&amp;" now), how much can you withdraw at the beginning of each month if you can invest in a "&amp;B7&amp;" year bond fund that yields "&amp;TEXT(B3,"0.00%")&amp;" compounded monthly?"</f>
        <v>If your retirement account shows $312,000.00 on the day that you retire and you plan to live to be 100 (you are 70 now), how much can you withdraw at the beginning of each month if you can invest in a 30 year bond fund that yields 5.00% compounded monthly?</v>
      </c>
      <c r="B1" s="144"/>
      <c r="C1" s="144"/>
      <c r="D1" s="141"/>
    </row>
    <row r="2" spans="1:5" x14ac:dyDescent="0.3">
      <c r="A2" s="49" t="s">
        <v>102</v>
      </c>
      <c r="B2" s="76">
        <v>312000</v>
      </c>
    </row>
    <row r="3" spans="1:5" x14ac:dyDescent="0.3">
      <c r="A3" s="1" t="s">
        <v>113</v>
      </c>
      <c r="B3" s="45">
        <v>0.05</v>
      </c>
      <c r="D3" t="s">
        <v>251</v>
      </c>
    </row>
    <row r="4" spans="1:5" x14ac:dyDescent="0.3">
      <c r="A4" s="1" t="s">
        <v>114</v>
      </c>
      <c r="B4" s="1">
        <v>12</v>
      </c>
    </row>
    <row r="5" spans="1:5" x14ac:dyDescent="0.3">
      <c r="A5" s="1" t="s">
        <v>107</v>
      </c>
      <c r="B5" s="1">
        <v>70</v>
      </c>
    </row>
    <row r="6" spans="1:5" x14ac:dyDescent="0.3">
      <c r="A6" s="1" t="s">
        <v>115</v>
      </c>
      <c r="B6" s="1">
        <v>100</v>
      </c>
    </row>
    <row r="7" spans="1:5" x14ac:dyDescent="0.3">
      <c r="A7" s="1" t="s">
        <v>77</v>
      </c>
      <c r="B7" s="1">
        <f>B6-B5</f>
        <v>30</v>
      </c>
    </row>
    <row r="8" spans="1:5" x14ac:dyDescent="0.3">
      <c r="A8" s="1" t="s">
        <v>97</v>
      </c>
      <c r="B8" s="71"/>
    </row>
    <row r="9" spans="1:5" x14ac:dyDescent="0.3">
      <c r="A9" s="1" t="s">
        <v>97</v>
      </c>
      <c r="B9" s="72"/>
      <c r="C9" t="s">
        <v>303</v>
      </c>
    </row>
    <row r="10" spans="1:5" ht="100.8" x14ac:dyDescent="0.3">
      <c r="A10" s="3" t="s">
        <v>82</v>
      </c>
      <c r="B10" s="58" t="str">
        <f>IF(B9="","","If your retirement account shows "&amp;DOLLAR(B2)&amp;" on the day that you retire and you plan to live to be "&amp;B6&amp;" (you are "&amp;B5&amp;" now), you can withdraw "&amp;DOLLAR(B9)&amp;" at the beginning of each month if you can invest in a "&amp;B7&amp;" year bond fund that yields "&amp;TEXT(B3,"0.00%")&amp;" compounded monthly?")</f>
        <v/>
      </c>
      <c r="C10" s="59"/>
      <c r="D10" s="59"/>
      <c r="E10" s="60"/>
    </row>
    <row r="12" spans="1:5" x14ac:dyDescent="0.3">
      <c r="A12" t="s">
        <v>302</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2"/>
  <sheetViews>
    <sheetView workbookViewId="0">
      <selection activeCell="B9" sqref="B9"/>
    </sheetView>
  </sheetViews>
  <sheetFormatPr defaultRowHeight="14.4" x14ac:dyDescent="0.3"/>
  <cols>
    <col min="1" max="1" width="35.44140625" bestFit="1" customWidth="1"/>
    <col min="2" max="2" width="11.5546875" bestFit="1" customWidth="1"/>
    <col min="257" max="257" width="35.44140625" bestFit="1" customWidth="1"/>
    <col min="258" max="258" width="11.5546875" bestFit="1" customWidth="1"/>
    <col min="513" max="513" width="35.44140625" bestFit="1" customWidth="1"/>
    <col min="514" max="514" width="11.5546875" bestFit="1" customWidth="1"/>
    <col min="769" max="769" width="35.44140625" bestFit="1" customWidth="1"/>
    <col min="770" max="770" width="11.5546875" bestFit="1" customWidth="1"/>
    <col min="1025" max="1025" width="35.44140625" bestFit="1" customWidth="1"/>
    <col min="1026" max="1026" width="11.5546875" bestFit="1" customWidth="1"/>
    <col min="1281" max="1281" width="35.44140625" bestFit="1" customWidth="1"/>
    <col min="1282" max="1282" width="11.5546875" bestFit="1" customWidth="1"/>
    <col min="1537" max="1537" width="35.44140625" bestFit="1" customWidth="1"/>
    <col min="1538" max="1538" width="11.5546875" bestFit="1" customWidth="1"/>
    <col min="1793" max="1793" width="35.44140625" bestFit="1" customWidth="1"/>
    <col min="1794" max="1794" width="11.5546875" bestFit="1" customWidth="1"/>
    <col min="2049" max="2049" width="35.44140625" bestFit="1" customWidth="1"/>
    <col min="2050" max="2050" width="11.5546875" bestFit="1" customWidth="1"/>
    <col min="2305" max="2305" width="35.44140625" bestFit="1" customWidth="1"/>
    <col min="2306" max="2306" width="11.5546875" bestFit="1" customWidth="1"/>
    <col min="2561" max="2561" width="35.44140625" bestFit="1" customWidth="1"/>
    <col min="2562" max="2562" width="11.5546875" bestFit="1" customWidth="1"/>
    <col min="2817" max="2817" width="35.44140625" bestFit="1" customWidth="1"/>
    <col min="2818" max="2818" width="11.5546875" bestFit="1" customWidth="1"/>
    <col min="3073" max="3073" width="35.44140625" bestFit="1" customWidth="1"/>
    <col min="3074" max="3074" width="11.5546875" bestFit="1" customWidth="1"/>
    <col min="3329" max="3329" width="35.44140625" bestFit="1" customWidth="1"/>
    <col min="3330" max="3330" width="11.5546875" bestFit="1" customWidth="1"/>
    <col min="3585" max="3585" width="35.44140625" bestFit="1" customWidth="1"/>
    <col min="3586" max="3586" width="11.5546875" bestFit="1" customWidth="1"/>
    <col min="3841" max="3841" width="35.44140625" bestFit="1" customWidth="1"/>
    <col min="3842" max="3842" width="11.5546875" bestFit="1" customWidth="1"/>
    <col min="4097" max="4097" width="35.44140625" bestFit="1" customWidth="1"/>
    <col min="4098" max="4098" width="11.5546875" bestFit="1" customWidth="1"/>
    <col min="4353" max="4353" width="35.44140625" bestFit="1" customWidth="1"/>
    <col min="4354" max="4354" width="11.5546875" bestFit="1" customWidth="1"/>
    <col min="4609" max="4609" width="35.44140625" bestFit="1" customWidth="1"/>
    <col min="4610" max="4610" width="11.5546875" bestFit="1" customWidth="1"/>
    <col min="4865" max="4865" width="35.44140625" bestFit="1" customWidth="1"/>
    <col min="4866" max="4866" width="11.5546875" bestFit="1" customWidth="1"/>
    <col min="5121" max="5121" width="35.44140625" bestFit="1" customWidth="1"/>
    <col min="5122" max="5122" width="11.5546875" bestFit="1" customWidth="1"/>
    <col min="5377" max="5377" width="35.44140625" bestFit="1" customWidth="1"/>
    <col min="5378" max="5378" width="11.5546875" bestFit="1" customWidth="1"/>
    <col min="5633" max="5633" width="35.44140625" bestFit="1" customWidth="1"/>
    <col min="5634" max="5634" width="11.5546875" bestFit="1" customWidth="1"/>
    <col min="5889" max="5889" width="35.44140625" bestFit="1" customWidth="1"/>
    <col min="5890" max="5890" width="11.5546875" bestFit="1" customWidth="1"/>
    <col min="6145" max="6145" width="35.44140625" bestFit="1" customWidth="1"/>
    <col min="6146" max="6146" width="11.5546875" bestFit="1" customWidth="1"/>
    <col min="6401" max="6401" width="35.44140625" bestFit="1" customWidth="1"/>
    <col min="6402" max="6402" width="11.5546875" bestFit="1" customWidth="1"/>
    <col min="6657" max="6657" width="35.44140625" bestFit="1" customWidth="1"/>
    <col min="6658" max="6658" width="11.5546875" bestFit="1" customWidth="1"/>
    <col min="6913" max="6913" width="35.44140625" bestFit="1" customWidth="1"/>
    <col min="6914" max="6914" width="11.5546875" bestFit="1" customWidth="1"/>
    <col min="7169" max="7169" width="35.44140625" bestFit="1" customWidth="1"/>
    <col min="7170" max="7170" width="11.5546875" bestFit="1" customWidth="1"/>
    <col min="7425" max="7425" width="35.44140625" bestFit="1" customWidth="1"/>
    <col min="7426" max="7426" width="11.5546875" bestFit="1" customWidth="1"/>
    <col min="7681" max="7681" width="35.44140625" bestFit="1" customWidth="1"/>
    <col min="7682" max="7682" width="11.5546875" bestFit="1" customWidth="1"/>
    <col min="7937" max="7937" width="35.44140625" bestFit="1" customWidth="1"/>
    <col min="7938" max="7938" width="11.5546875" bestFit="1" customWidth="1"/>
    <col min="8193" max="8193" width="35.44140625" bestFit="1" customWidth="1"/>
    <col min="8194" max="8194" width="11.5546875" bestFit="1" customWidth="1"/>
    <col min="8449" max="8449" width="35.44140625" bestFit="1" customWidth="1"/>
    <col min="8450" max="8450" width="11.5546875" bestFit="1" customWidth="1"/>
    <col min="8705" max="8705" width="35.44140625" bestFit="1" customWidth="1"/>
    <col min="8706" max="8706" width="11.5546875" bestFit="1" customWidth="1"/>
    <col min="8961" max="8961" width="35.44140625" bestFit="1" customWidth="1"/>
    <col min="8962" max="8962" width="11.5546875" bestFit="1" customWidth="1"/>
    <col min="9217" max="9217" width="35.44140625" bestFit="1" customWidth="1"/>
    <col min="9218" max="9218" width="11.5546875" bestFit="1" customWidth="1"/>
    <col min="9473" max="9473" width="35.44140625" bestFit="1" customWidth="1"/>
    <col min="9474" max="9474" width="11.5546875" bestFit="1" customWidth="1"/>
    <col min="9729" max="9729" width="35.44140625" bestFit="1" customWidth="1"/>
    <col min="9730" max="9730" width="11.5546875" bestFit="1" customWidth="1"/>
    <col min="9985" max="9985" width="35.44140625" bestFit="1" customWidth="1"/>
    <col min="9986" max="9986" width="11.5546875" bestFit="1" customWidth="1"/>
    <col min="10241" max="10241" width="35.44140625" bestFit="1" customWidth="1"/>
    <col min="10242" max="10242" width="11.5546875" bestFit="1" customWidth="1"/>
    <col min="10497" max="10497" width="35.44140625" bestFit="1" customWidth="1"/>
    <col min="10498" max="10498" width="11.5546875" bestFit="1" customWidth="1"/>
    <col min="10753" max="10753" width="35.44140625" bestFit="1" customWidth="1"/>
    <col min="10754" max="10754" width="11.5546875" bestFit="1" customWidth="1"/>
    <col min="11009" max="11009" width="35.44140625" bestFit="1" customWidth="1"/>
    <col min="11010" max="11010" width="11.5546875" bestFit="1" customWidth="1"/>
    <col min="11265" max="11265" width="35.44140625" bestFit="1" customWidth="1"/>
    <col min="11266" max="11266" width="11.5546875" bestFit="1" customWidth="1"/>
    <col min="11521" max="11521" width="35.44140625" bestFit="1" customWidth="1"/>
    <col min="11522" max="11522" width="11.5546875" bestFit="1" customWidth="1"/>
    <col min="11777" max="11777" width="35.44140625" bestFit="1" customWidth="1"/>
    <col min="11778" max="11778" width="11.5546875" bestFit="1" customWidth="1"/>
    <col min="12033" max="12033" width="35.44140625" bestFit="1" customWidth="1"/>
    <col min="12034" max="12034" width="11.5546875" bestFit="1" customWidth="1"/>
    <col min="12289" max="12289" width="35.44140625" bestFit="1" customWidth="1"/>
    <col min="12290" max="12290" width="11.5546875" bestFit="1" customWidth="1"/>
    <col min="12545" max="12545" width="35.44140625" bestFit="1" customWidth="1"/>
    <col min="12546" max="12546" width="11.5546875" bestFit="1" customWidth="1"/>
    <col min="12801" max="12801" width="35.44140625" bestFit="1" customWidth="1"/>
    <col min="12802" max="12802" width="11.5546875" bestFit="1" customWidth="1"/>
    <col min="13057" max="13057" width="35.44140625" bestFit="1" customWidth="1"/>
    <col min="13058" max="13058" width="11.5546875" bestFit="1" customWidth="1"/>
    <col min="13313" max="13313" width="35.44140625" bestFit="1" customWidth="1"/>
    <col min="13314" max="13314" width="11.5546875" bestFit="1" customWidth="1"/>
    <col min="13569" max="13569" width="35.44140625" bestFit="1" customWidth="1"/>
    <col min="13570" max="13570" width="11.5546875" bestFit="1" customWidth="1"/>
    <col min="13825" max="13825" width="35.44140625" bestFit="1" customWidth="1"/>
    <col min="13826" max="13826" width="11.5546875" bestFit="1" customWidth="1"/>
    <col min="14081" max="14081" width="35.44140625" bestFit="1" customWidth="1"/>
    <col min="14082" max="14082" width="11.5546875" bestFit="1" customWidth="1"/>
    <col min="14337" max="14337" width="35.44140625" bestFit="1" customWidth="1"/>
    <col min="14338" max="14338" width="11.5546875" bestFit="1" customWidth="1"/>
    <col min="14593" max="14593" width="35.44140625" bestFit="1" customWidth="1"/>
    <col min="14594" max="14594" width="11.5546875" bestFit="1" customWidth="1"/>
    <col min="14849" max="14849" width="35.44140625" bestFit="1" customWidth="1"/>
    <col min="14850" max="14850" width="11.5546875" bestFit="1" customWidth="1"/>
    <col min="15105" max="15105" width="35.44140625" bestFit="1" customWidth="1"/>
    <col min="15106" max="15106" width="11.5546875" bestFit="1" customWidth="1"/>
    <col min="15361" max="15361" width="35.44140625" bestFit="1" customWidth="1"/>
    <col min="15362" max="15362" width="11.5546875" bestFit="1" customWidth="1"/>
    <col min="15617" max="15617" width="35.44140625" bestFit="1" customWidth="1"/>
    <col min="15618" max="15618" width="11.5546875" bestFit="1" customWidth="1"/>
    <col min="15873" max="15873" width="35.44140625" bestFit="1" customWidth="1"/>
    <col min="15874" max="15874" width="11.5546875" bestFit="1" customWidth="1"/>
    <col min="16129" max="16129" width="35.44140625" bestFit="1" customWidth="1"/>
    <col min="16130" max="16130" width="11.5546875" bestFit="1" customWidth="1"/>
  </cols>
  <sheetData>
    <row r="1" spans="1:5" ht="57.6" x14ac:dyDescent="0.3">
      <c r="A1" s="173" t="str">
        <f>"If your retirement account shows "&amp;DOLLAR(B2)&amp;" on the day that you retire and you plan to live to be "&amp;B6&amp;" (you are "&amp;B5&amp;" now), how much can you withdraw at the beginning of each month if you can invest in a "&amp;B7&amp;" year bond fund that yields "&amp;TEXT(B3,"0.00%")&amp;" compounded monthly?"</f>
        <v>If your retirement account shows $312,000.00 on the day that you retire and you plan to live to be 100 (you are 70 now), how much can you withdraw at the beginning of each month if you can invest in a 30 year bond fund that yields 5.00% compounded monthly?</v>
      </c>
      <c r="B1" s="144"/>
      <c r="C1" s="144"/>
      <c r="D1" s="141"/>
    </row>
    <row r="2" spans="1:5" x14ac:dyDescent="0.3">
      <c r="A2" s="49" t="s">
        <v>102</v>
      </c>
      <c r="B2" s="76">
        <v>312000</v>
      </c>
    </row>
    <row r="3" spans="1:5" x14ac:dyDescent="0.3">
      <c r="A3" s="1" t="s">
        <v>113</v>
      </c>
      <c r="B3" s="45">
        <v>0.05</v>
      </c>
      <c r="D3" t="s">
        <v>251</v>
      </c>
    </row>
    <row r="4" spans="1:5" x14ac:dyDescent="0.3">
      <c r="A4" s="1" t="s">
        <v>114</v>
      </c>
      <c r="B4" s="1">
        <v>12</v>
      </c>
    </row>
    <row r="5" spans="1:5" x14ac:dyDescent="0.3">
      <c r="A5" s="1" t="s">
        <v>107</v>
      </c>
      <c r="B5" s="1">
        <v>70</v>
      </c>
    </row>
    <row r="6" spans="1:5" x14ac:dyDescent="0.3">
      <c r="A6" s="1" t="s">
        <v>115</v>
      </c>
      <c r="B6" s="1">
        <v>100</v>
      </c>
    </row>
    <row r="7" spans="1:5" x14ac:dyDescent="0.3">
      <c r="A7" s="1" t="s">
        <v>77</v>
      </c>
      <c r="B7" s="1">
        <f>B6-B5</f>
        <v>30</v>
      </c>
    </row>
    <row r="8" spans="1:5" x14ac:dyDescent="0.3">
      <c r="A8" s="1" t="s">
        <v>97</v>
      </c>
      <c r="B8" s="71"/>
    </row>
    <row r="9" spans="1:5" ht="15" x14ac:dyDescent="0.25">
      <c r="A9" s="1" t="s">
        <v>97</v>
      </c>
      <c r="B9" s="72">
        <f>PMT(B3/B4,B7*B4,-B2,,1)</f>
        <v>1667.9337398817001</v>
      </c>
      <c r="C9" t="s">
        <v>303</v>
      </c>
    </row>
    <row r="10" spans="1:5" ht="98.25" customHeight="1" x14ac:dyDescent="0.3">
      <c r="A10" s="3" t="s">
        <v>82</v>
      </c>
      <c r="B10" s="58" t="str">
        <f>IF(B9="","","If your retirement account shows "&amp;DOLLAR(B2)&amp;" on the day that you retire and you plan to live to be "&amp;B6&amp;" (you are "&amp;B5&amp;" now), you can withdraw "&amp;DOLLAR(B9)&amp;" at the beginning of each month if you can invest in a "&amp;B7&amp;" year bond fund that yields "&amp;TEXT(B3,"0.00%")&amp;" compounded monthly?")</f>
        <v>If your retirement account shows $312,000.00 on the day that you retire and you plan to live to be 100 (you are 70 now), you can withdraw $1,667.93 at the beginning of each month if you can invest in a 30 year bond fund that yields 5.00% compounded monthly?</v>
      </c>
      <c r="C10" s="59"/>
      <c r="D10" s="59"/>
      <c r="E10" s="60"/>
    </row>
    <row r="12" spans="1:5" x14ac:dyDescent="0.3">
      <c r="A12" t="s">
        <v>302</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9"/>
  <sheetViews>
    <sheetView zoomScale="145" zoomScaleNormal="145" workbookViewId="0">
      <selection activeCell="B6" sqref="B6"/>
    </sheetView>
  </sheetViews>
  <sheetFormatPr defaultRowHeight="14.4" x14ac:dyDescent="0.3"/>
  <cols>
    <col min="1" max="1" width="26" customWidth="1"/>
    <col min="2" max="2" width="15.109375" customWidth="1"/>
    <col min="6" max="6" width="12.77734375" bestFit="1" customWidth="1"/>
    <col min="257" max="257" width="26" customWidth="1"/>
    <col min="258" max="258" width="15.109375" customWidth="1"/>
    <col min="262" max="262" width="11.88671875" bestFit="1" customWidth="1"/>
    <col min="513" max="513" width="26" customWidth="1"/>
    <col min="514" max="514" width="15.109375" customWidth="1"/>
    <col min="518" max="518" width="11.88671875" bestFit="1" customWidth="1"/>
    <col min="769" max="769" width="26" customWidth="1"/>
    <col min="770" max="770" width="15.109375" customWidth="1"/>
    <col min="774" max="774" width="11.88671875" bestFit="1" customWidth="1"/>
    <col min="1025" max="1025" width="26" customWidth="1"/>
    <col min="1026" max="1026" width="15.109375" customWidth="1"/>
    <col min="1030" max="1030" width="11.88671875" bestFit="1" customWidth="1"/>
    <col min="1281" max="1281" width="26" customWidth="1"/>
    <col min="1282" max="1282" width="15.109375" customWidth="1"/>
    <col min="1286" max="1286" width="11.88671875" bestFit="1" customWidth="1"/>
    <col min="1537" max="1537" width="26" customWidth="1"/>
    <col min="1538" max="1538" width="15.109375" customWidth="1"/>
    <col min="1542" max="1542" width="11.88671875" bestFit="1" customWidth="1"/>
    <col min="1793" max="1793" width="26" customWidth="1"/>
    <col min="1794" max="1794" width="15.109375" customWidth="1"/>
    <col min="1798" max="1798" width="11.88671875" bestFit="1" customWidth="1"/>
    <col min="2049" max="2049" width="26" customWidth="1"/>
    <col min="2050" max="2050" width="15.109375" customWidth="1"/>
    <col min="2054" max="2054" width="11.88671875" bestFit="1" customWidth="1"/>
    <col min="2305" max="2305" width="26" customWidth="1"/>
    <col min="2306" max="2306" width="15.109375" customWidth="1"/>
    <col min="2310" max="2310" width="11.88671875" bestFit="1" customWidth="1"/>
    <col min="2561" max="2561" width="26" customWidth="1"/>
    <col min="2562" max="2562" width="15.109375" customWidth="1"/>
    <col min="2566" max="2566" width="11.88671875" bestFit="1" customWidth="1"/>
    <col min="2817" max="2817" width="26" customWidth="1"/>
    <col min="2818" max="2818" width="15.109375" customWidth="1"/>
    <col min="2822" max="2822" width="11.88671875" bestFit="1" customWidth="1"/>
    <col min="3073" max="3073" width="26" customWidth="1"/>
    <col min="3074" max="3074" width="15.109375" customWidth="1"/>
    <col min="3078" max="3078" width="11.88671875" bestFit="1" customWidth="1"/>
    <col min="3329" max="3329" width="26" customWidth="1"/>
    <col min="3330" max="3330" width="15.109375" customWidth="1"/>
    <col min="3334" max="3334" width="11.88671875" bestFit="1" customWidth="1"/>
    <col min="3585" max="3585" width="26" customWidth="1"/>
    <col min="3586" max="3586" width="15.109375" customWidth="1"/>
    <col min="3590" max="3590" width="11.88671875" bestFit="1" customWidth="1"/>
    <col min="3841" max="3841" width="26" customWidth="1"/>
    <col min="3842" max="3842" width="15.109375" customWidth="1"/>
    <col min="3846" max="3846" width="11.88671875" bestFit="1" customWidth="1"/>
    <col min="4097" max="4097" width="26" customWidth="1"/>
    <col min="4098" max="4098" width="15.109375" customWidth="1"/>
    <col min="4102" max="4102" width="11.88671875" bestFit="1" customWidth="1"/>
    <col min="4353" max="4353" width="26" customWidth="1"/>
    <col min="4354" max="4354" width="15.109375" customWidth="1"/>
    <col min="4358" max="4358" width="11.88671875" bestFit="1" customWidth="1"/>
    <col min="4609" max="4609" width="26" customWidth="1"/>
    <col min="4610" max="4610" width="15.109375" customWidth="1"/>
    <col min="4614" max="4614" width="11.88671875" bestFit="1" customWidth="1"/>
    <col min="4865" max="4865" width="26" customWidth="1"/>
    <col min="4866" max="4866" width="15.109375" customWidth="1"/>
    <col min="4870" max="4870" width="11.88671875" bestFit="1" customWidth="1"/>
    <col min="5121" max="5121" width="26" customWidth="1"/>
    <col min="5122" max="5122" width="15.109375" customWidth="1"/>
    <col min="5126" max="5126" width="11.88671875" bestFit="1" customWidth="1"/>
    <col min="5377" max="5377" width="26" customWidth="1"/>
    <col min="5378" max="5378" width="15.109375" customWidth="1"/>
    <col min="5382" max="5382" width="11.88671875" bestFit="1" customWidth="1"/>
    <col min="5633" max="5633" width="26" customWidth="1"/>
    <col min="5634" max="5634" width="15.109375" customWidth="1"/>
    <col min="5638" max="5638" width="11.88671875" bestFit="1" customWidth="1"/>
    <col min="5889" max="5889" width="26" customWidth="1"/>
    <col min="5890" max="5890" width="15.109375" customWidth="1"/>
    <col min="5894" max="5894" width="11.88671875" bestFit="1" customWidth="1"/>
    <col min="6145" max="6145" width="26" customWidth="1"/>
    <col min="6146" max="6146" width="15.109375" customWidth="1"/>
    <col min="6150" max="6150" width="11.88671875" bestFit="1" customWidth="1"/>
    <col min="6401" max="6401" width="26" customWidth="1"/>
    <col min="6402" max="6402" width="15.109375" customWidth="1"/>
    <col min="6406" max="6406" width="11.88671875" bestFit="1" customWidth="1"/>
    <col min="6657" max="6657" width="26" customWidth="1"/>
    <col min="6658" max="6658" width="15.109375" customWidth="1"/>
    <col min="6662" max="6662" width="11.88671875" bestFit="1" customWidth="1"/>
    <col min="6913" max="6913" width="26" customWidth="1"/>
    <col min="6914" max="6914" width="15.109375" customWidth="1"/>
    <col min="6918" max="6918" width="11.88671875" bestFit="1" customWidth="1"/>
    <col min="7169" max="7169" width="26" customWidth="1"/>
    <col min="7170" max="7170" width="15.109375" customWidth="1"/>
    <col min="7174" max="7174" width="11.88671875" bestFit="1" customWidth="1"/>
    <col min="7425" max="7425" width="26" customWidth="1"/>
    <col min="7426" max="7426" width="15.109375" customWidth="1"/>
    <col min="7430" max="7430" width="11.88671875" bestFit="1" customWidth="1"/>
    <col min="7681" max="7681" width="26" customWidth="1"/>
    <col min="7682" max="7682" width="15.109375" customWidth="1"/>
    <col min="7686" max="7686" width="11.88671875" bestFit="1" customWidth="1"/>
    <col min="7937" max="7937" width="26" customWidth="1"/>
    <col min="7938" max="7938" width="15.109375" customWidth="1"/>
    <col min="7942" max="7942" width="11.88671875" bestFit="1" customWidth="1"/>
    <col min="8193" max="8193" width="26" customWidth="1"/>
    <col min="8194" max="8194" width="15.109375" customWidth="1"/>
    <col min="8198" max="8198" width="11.88671875" bestFit="1" customWidth="1"/>
    <col min="8449" max="8449" width="26" customWidth="1"/>
    <col min="8450" max="8450" width="15.109375" customWidth="1"/>
    <col min="8454" max="8454" width="11.88671875" bestFit="1" customWidth="1"/>
    <col min="8705" max="8705" width="26" customWidth="1"/>
    <col min="8706" max="8706" width="15.109375" customWidth="1"/>
    <col min="8710" max="8710" width="11.88671875" bestFit="1" customWidth="1"/>
    <col min="8961" max="8961" width="26" customWidth="1"/>
    <col min="8962" max="8962" width="15.109375" customWidth="1"/>
    <col min="8966" max="8966" width="11.88671875" bestFit="1" customWidth="1"/>
    <col min="9217" max="9217" width="26" customWidth="1"/>
    <col min="9218" max="9218" width="15.109375" customWidth="1"/>
    <col min="9222" max="9222" width="11.88671875" bestFit="1" customWidth="1"/>
    <col min="9473" max="9473" width="26" customWidth="1"/>
    <col min="9474" max="9474" width="15.109375" customWidth="1"/>
    <col min="9478" max="9478" width="11.88671875" bestFit="1" customWidth="1"/>
    <col min="9729" max="9729" width="26" customWidth="1"/>
    <col min="9730" max="9730" width="15.109375" customWidth="1"/>
    <col min="9734" max="9734" width="11.88671875" bestFit="1" customWidth="1"/>
    <col min="9985" max="9985" width="26" customWidth="1"/>
    <col min="9986" max="9986" width="15.109375" customWidth="1"/>
    <col min="9990" max="9990" width="11.88671875" bestFit="1" customWidth="1"/>
    <col min="10241" max="10241" width="26" customWidth="1"/>
    <col min="10242" max="10242" width="15.109375" customWidth="1"/>
    <col min="10246" max="10246" width="11.88671875" bestFit="1" customWidth="1"/>
    <col min="10497" max="10497" width="26" customWidth="1"/>
    <col min="10498" max="10498" width="15.109375" customWidth="1"/>
    <col min="10502" max="10502" width="11.88671875" bestFit="1" customWidth="1"/>
    <col min="10753" max="10753" width="26" customWidth="1"/>
    <col min="10754" max="10754" width="15.109375" customWidth="1"/>
    <col min="10758" max="10758" width="11.88671875" bestFit="1" customWidth="1"/>
    <col min="11009" max="11009" width="26" customWidth="1"/>
    <col min="11010" max="11010" width="15.109375" customWidth="1"/>
    <col min="11014" max="11014" width="11.88671875" bestFit="1" customWidth="1"/>
    <col min="11265" max="11265" width="26" customWidth="1"/>
    <col min="11266" max="11266" width="15.109375" customWidth="1"/>
    <col min="11270" max="11270" width="11.88671875" bestFit="1" customWidth="1"/>
    <col min="11521" max="11521" width="26" customWidth="1"/>
    <col min="11522" max="11522" width="15.109375" customWidth="1"/>
    <col min="11526" max="11526" width="11.88671875" bestFit="1" customWidth="1"/>
    <col min="11777" max="11777" width="26" customWidth="1"/>
    <col min="11778" max="11778" width="15.109375" customWidth="1"/>
    <col min="11782" max="11782" width="11.88671875" bestFit="1" customWidth="1"/>
    <col min="12033" max="12033" width="26" customWidth="1"/>
    <col min="12034" max="12034" width="15.109375" customWidth="1"/>
    <col min="12038" max="12038" width="11.88671875" bestFit="1" customWidth="1"/>
    <col min="12289" max="12289" width="26" customWidth="1"/>
    <col min="12290" max="12290" width="15.109375" customWidth="1"/>
    <col min="12294" max="12294" width="11.88671875" bestFit="1" customWidth="1"/>
    <col min="12545" max="12545" width="26" customWidth="1"/>
    <col min="12546" max="12546" width="15.109375" customWidth="1"/>
    <col min="12550" max="12550" width="11.88671875" bestFit="1" customWidth="1"/>
    <col min="12801" max="12801" width="26" customWidth="1"/>
    <col min="12802" max="12802" width="15.109375" customWidth="1"/>
    <col min="12806" max="12806" width="11.88671875" bestFit="1" customWidth="1"/>
    <col min="13057" max="13057" width="26" customWidth="1"/>
    <col min="13058" max="13058" width="15.109375" customWidth="1"/>
    <col min="13062" max="13062" width="11.88671875" bestFit="1" customWidth="1"/>
    <col min="13313" max="13313" width="26" customWidth="1"/>
    <col min="13314" max="13314" width="15.109375" customWidth="1"/>
    <col min="13318" max="13318" width="11.88671875" bestFit="1" customWidth="1"/>
    <col min="13569" max="13569" width="26" customWidth="1"/>
    <col min="13570" max="13570" width="15.109375" customWidth="1"/>
    <col min="13574" max="13574" width="11.88671875" bestFit="1" customWidth="1"/>
    <col min="13825" max="13825" width="26" customWidth="1"/>
    <col min="13826" max="13826" width="15.109375" customWidth="1"/>
    <col min="13830" max="13830" width="11.88671875" bestFit="1" customWidth="1"/>
    <col min="14081" max="14081" width="26" customWidth="1"/>
    <col min="14082" max="14082" width="15.109375" customWidth="1"/>
    <col min="14086" max="14086" width="11.88671875" bestFit="1" customWidth="1"/>
    <col min="14337" max="14337" width="26" customWidth="1"/>
    <col min="14338" max="14338" width="15.109375" customWidth="1"/>
    <col min="14342" max="14342" width="11.88671875" bestFit="1" customWidth="1"/>
    <col min="14593" max="14593" width="26" customWidth="1"/>
    <col min="14594" max="14594" width="15.109375" customWidth="1"/>
    <col min="14598" max="14598" width="11.88671875" bestFit="1" customWidth="1"/>
    <col min="14849" max="14849" width="26" customWidth="1"/>
    <col min="14850" max="14850" width="15.109375" customWidth="1"/>
    <col min="14854" max="14854" width="11.88671875" bestFit="1" customWidth="1"/>
    <col min="15105" max="15105" width="26" customWidth="1"/>
    <col min="15106" max="15106" width="15.109375" customWidth="1"/>
    <col min="15110" max="15110" width="11.88671875" bestFit="1" customWidth="1"/>
    <col min="15361" max="15361" width="26" customWidth="1"/>
    <col min="15362" max="15362" width="15.109375" customWidth="1"/>
    <col min="15366" max="15366" width="11.88671875" bestFit="1" customWidth="1"/>
    <col min="15617" max="15617" width="26" customWidth="1"/>
    <col min="15618" max="15618" width="15.109375" customWidth="1"/>
    <col min="15622" max="15622" width="11.88671875" bestFit="1" customWidth="1"/>
    <col min="15873" max="15873" width="26" customWidth="1"/>
    <col min="15874" max="15874" width="15.109375" customWidth="1"/>
    <col min="15878" max="15878" width="11.88671875" bestFit="1" customWidth="1"/>
    <col min="16129" max="16129" width="26" customWidth="1"/>
    <col min="16130" max="16130" width="15.109375" customWidth="1"/>
    <col min="16134" max="16134" width="11.88671875" bestFit="1" customWidth="1"/>
  </cols>
  <sheetData>
    <row r="1" spans="1:6" ht="28.8" x14ac:dyDescent="0.3">
      <c r="A1" s="34" t="s">
        <v>116</v>
      </c>
      <c r="B1" s="34"/>
    </row>
    <row r="2" spans="1:6" x14ac:dyDescent="0.3">
      <c r="A2" s="1" t="s">
        <v>117</v>
      </c>
      <c r="B2" s="1">
        <v>230000</v>
      </c>
      <c r="F2" t="s">
        <v>88</v>
      </c>
    </row>
    <row r="3" spans="1:6" x14ac:dyDescent="0.3">
      <c r="A3" s="1" t="s">
        <v>84</v>
      </c>
      <c r="B3" s="1">
        <v>-3250</v>
      </c>
      <c r="F3" s="7">
        <f>PV(B7/B5,B5*B4,-B3)</f>
        <v>-390000</v>
      </c>
    </row>
    <row r="4" spans="1:6" x14ac:dyDescent="0.3">
      <c r="A4" s="1" t="s">
        <v>77</v>
      </c>
      <c r="B4" s="1">
        <v>10</v>
      </c>
    </row>
    <row r="5" spans="1:6" x14ac:dyDescent="0.3">
      <c r="A5" s="1" t="s">
        <v>118</v>
      </c>
      <c r="B5" s="1">
        <v>12</v>
      </c>
    </row>
    <row r="6" spans="1:6" x14ac:dyDescent="0.3">
      <c r="A6" s="1" t="s">
        <v>96</v>
      </c>
      <c r="B6" s="182"/>
    </row>
    <row r="7" spans="1:6" x14ac:dyDescent="0.3">
      <c r="A7" s="1" t="s">
        <v>119</v>
      </c>
      <c r="B7" s="53"/>
    </row>
    <row r="8" spans="1:6" x14ac:dyDescent="0.3">
      <c r="A8" s="1" t="s">
        <v>71</v>
      </c>
      <c r="B8" s="53"/>
    </row>
    <row r="9" spans="1:6" x14ac:dyDescent="0.3">
      <c r="A9" s="1" t="s">
        <v>71</v>
      </c>
      <c r="B9" s="53"/>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
  <sheetViews>
    <sheetView zoomScale="130" zoomScaleNormal="130" workbookViewId="0">
      <selection activeCell="B6" sqref="B6"/>
    </sheetView>
  </sheetViews>
  <sheetFormatPr defaultRowHeight="14.4" x14ac:dyDescent="0.3"/>
  <cols>
    <col min="1" max="1" width="26" customWidth="1"/>
    <col min="2" max="2" width="15.109375" customWidth="1"/>
    <col min="6" max="6" width="11.88671875" bestFit="1" customWidth="1"/>
    <col min="257" max="257" width="26" customWidth="1"/>
    <col min="258" max="258" width="15.109375" customWidth="1"/>
    <col min="262" max="262" width="11.88671875" bestFit="1" customWidth="1"/>
    <col min="513" max="513" width="26" customWidth="1"/>
    <col min="514" max="514" width="15.109375" customWidth="1"/>
    <col min="518" max="518" width="11.88671875" bestFit="1" customWidth="1"/>
    <col min="769" max="769" width="26" customWidth="1"/>
    <col min="770" max="770" width="15.109375" customWidth="1"/>
    <col min="774" max="774" width="11.88671875" bestFit="1" customWidth="1"/>
    <col min="1025" max="1025" width="26" customWidth="1"/>
    <col min="1026" max="1026" width="15.109375" customWidth="1"/>
    <col min="1030" max="1030" width="11.88671875" bestFit="1" customWidth="1"/>
    <col min="1281" max="1281" width="26" customWidth="1"/>
    <col min="1282" max="1282" width="15.109375" customWidth="1"/>
    <col min="1286" max="1286" width="11.88671875" bestFit="1" customWidth="1"/>
    <col min="1537" max="1537" width="26" customWidth="1"/>
    <col min="1538" max="1538" width="15.109375" customWidth="1"/>
    <col min="1542" max="1542" width="11.88671875" bestFit="1" customWidth="1"/>
    <col min="1793" max="1793" width="26" customWidth="1"/>
    <col min="1794" max="1794" width="15.109375" customWidth="1"/>
    <col min="1798" max="1798" width="11.88671875" bestFit="1" customWidth="1"/>
    <col min="2049" max="2049" width="26" customWidth="1"/>
    <col min="2050" max="2050" width="15.109375" customWidth="1"/>
    <col min="2054" max="2054" width="11.88671875" bestFit="1" customWidth="1"/>
    <col min="2305" max="2305" width="26" customWidth="1"/>
    <col min="2306" max="2306" width="15.109375" customWidth="1"/>
    <col min="2310" max="2310" width="11.88671875" bestFit="1" customWidth="1"/>
    <col min="2561" max="2561" width="26" customWidth="1"/>
    <col min="2562" max="2562" width="15.109375" customWidth="1"/>
    <col min="2566" max="2566" width="11.88671875" bestFit="1" customWidth="1"/>
    <col min="2817" max="2817" width="26" customWidth="1"/>
    <col min="2818" max="2818" width="15.109375" customWidth="1"/>
    <col min="2822" max="2822" width="11.88671875" bestFit="1" customWidth="1"/>
    <col min="3073" max="3073" width="26" customWidth="1"/>
    <col min="3074" max="3074" width="15.109375" customWidth="1"/>
    <col min="3078" max="3078" width="11.88671875" bestFit="1" customWidth="1"/>
    <col min="3329" max="3329" width="26" customWidth="1"/>
    <col min="3330" max="3330" width="15.109375" customWidth="1"/>
    <col min="3334" max="3334" width="11.88671875" bestFit="1" customWidth="1"/>
    <col min="3585" max="3585" width="26" customWidth="1"/>
    <col min="3586" max="3586" width="15.109375" customWidth="1"/>
    <col min="3590" max="3590" width="11.88671875" bestFit="1" customWidth="1"/>
    <col min="3841" max="3841" width="26" customWidth="1"/>
    <col min="3842" max="3842" width="15.109375" customWidth="1"/>
    <col min="3846" max="3846" width="11.88671875" bestFit="1" customWidth="1"/>
    <col min="4097" max="4097" width="26" customWidth="1"/>
    <col min="4098" max="4098" width="15.109375" customWidth="1"/>
    <col min="4102" max="4102" width="11.88671875" bestFit="1" customWidth="1"/>
    <col min="4353" max="4353" width="26" customWidth="1"/>
    <col min="4354" max="4354" width="15.109375" customWidth="1"/>
    <col min="4358" max="4358" width="11.88671875" bestFit="1" customWidth="1"/>
    <col min="4609" max="4609" width="26" customWidth="1"/>
    <col min="4610" max="4610" width="15.109375" customWidth="1"/>
    <col min="4614" max="4614" width="11.88671875" bestFit="1" customWidth="1"/>
    <col min="4865" max="4865" width="26" customWidth="1"/>
    <col min="4866" max="4866" width="15.109375" customWidth="1"/>
    <col min="4870" max="4870" width="11.88671875" bestFit="1" customWidth="1"/>
    <col min="5121" max="5121" width="26" customWidth="1"/>
    <col min="5122" max="5122" width="15.109375" customWidth="1"/>
    <col min="5126" max="5126" width="11.88671875" bestFit="1" customWidth="1"/>
    <col min="5377" max="5377" width="26" customWidth="1"/>
    <col min="5378" max="5378" width="15.109375" customWidth="1"/>
    <col min="5382" max="5382" width="11.88671875" bestFit="1" customWidth="1"/>
    <col min="5633" max="5633" width="26" customWidth="1"/>
    <col min="5634" max="5634" width="15.109375" customWidth="1"/>
    <col min="5638" max="5638" width="11.88671875" bestFit="1" customWidth="1"/>
    <col min="5889" max="5889" width="26" customWidth="1"/>
    <col min="5890" max="5890" width="15.109375" customWidth="1"/>
    <col min="5894" max="5894" width="11.88671875" bestFit="1" customWidth="1"/>
    <col min="6145" max="6145" width="26" customWidth="1"/>
    <col min="6146" max="6146" width="15.109375" customWidth="1"/>
    <col min="6150" max="6150" width="11.88671875" bestFit="1" customWidth="1"/>
    <col min="6401" max="6401" width="26" customWidth="1"/>
    <col min="6402" max="6402" width="15.109375" customWidth="1"/>
    <col min="6406" max="6406" width="11.88671875" bestFit="1" customWidth="1"/>
    <col min="6657" max="6657" width="26" customWidth="1"/>
    <col min="6658" max="6658" width="15.109375" customWidth="1"/>
    <col min="6662" max="6662" width="11.88671875" bestFit="1" customWidth="1"/>
    <col min="6913" max="6913" width="26" customWidth="1"/>
    <col min="6914" max="6914" width="15.109375" customWidth="1"/>
    <col min="6918" max="6918" width="11.88671875" bestFit="1" customWidth="1"/>
    <col min="7169" max="7169" width="26" customWidth="1"/>
    <col min="7170" max="7170" width="15.109375" customWidth="1"/>
    <col min="7174" max="7174" width="11.88671875" bestFit="1" customWidth="1"/>
    <col min="7425" max="7425" width="26" customWidth="1"/>
    <col min="7426" max="7426" width="15.109375" customWidth="1"/>
    <col min="7430" max="7430" width="11.88671875" bestFit="1" customWidth="1"/>
    <col min="7681" max="7681" width="26" customWidth="1"/>
    <col min="7682" max="7682" width="15.109375" customWidth="1"/>
    <col min="7686" max="7686" width="11.88671875" bestFit="1" customWidth="1"/>
    <col min="7937" max="7937" width="26" customWidth="1"/>
    <col min="7938" max="7938" width="15.109375" customWidth="1"/>
    <col min="7942" max="7942" width="11.88671875" bestFit="1" customWidth="1"/>
    <col min="8193" max="8193" width="26" customWidth="1"/>
    <col min="8194" max="8194" width="15.109375" customWidth="1"/>
    <col min="8198" max="8198" width="11.88671875" bestFit="1" customWidth="1"/>
    <col min="8449" max="8449" width="26" customWidth="1"/>
    <col min="8450" max="8450" width="15.109375" customWidth="1"/>
    <col min="8454" max="8454" width="11.88671875" bestFit="1" customWidth="1"/>
    <col min="8705" max="8705" width="26" customWidth="1"/>
    <col min="8706" max="8706" width="15.109375" customWidth="1"/>
    <col min="8710" max="8710" width="11.88671875" bestFit="1" customWidth="1"/>
    <col min="8961" max="8961" width="26" customWidth="1"/>
    <col min="8962" max="8962" width="15.109375" customWidth="1"/>
    <col min="8966" max="8966" width="11.88671875" bestFit="1" customWidth="1"/>
    <col min="9217" max="9217" width="26" customWidth="1"/>
    <col min="9218" max="9218" width="15.109375" customWidth="1"/>
    <col min="9222" max="9222" width="11.88671875" bestFit="1" customWidth="1"/>
    <col min="9473" max="9473" width="26" customWidth="1"/>
    <col min="9474" max="9474" width="15.109375" customWidth="1"/>
    <col min="9478" max="9478" width="11.88671875" bestFit="1" customWidth="1"/>
    <col min="9729" max="9729" width="26" customWidth="1"/>
    <col min="9730" max="9730" width="15.109375" customWidth="1"/>
    <col min="9734" max="9734" width="11.88671875" bestFit="1" customWidth="1"/>
    <col min="9985" max="9985" width="26" customWidth="1"/>
    <col min="9986" max="9986" width="15.109375" customWidth="1"/>
    <col min="9990" max="9990" width="11.88671875" bestFit="1" customWidth="1"/>
    <col min="10241" max="10241" width="26" customWidth="1"/>
    <col min="10242" max="10242" width="15.109375" customWidth="1"/>
    <col min="10246" max="10246" width="11.88671875" bestFit="1" customWidth="1"/>
    <col min="10497" max="10497" width="26" customWidth="1"/>
    <col min="10498" max="10498" width="15.109375" customWidth="1"/>
    <col min="10502" max="10502" width="11.88671875" bestFit="1" customWidth="1"/>
    <col min="10753" max="10753" width="26" customWidth="1"/>
    <col min="10754" max="10754" width="15.109375" customWidth="1"/>
    <col min="10758" max="10758" width="11.88671875" bestFit="1" customWidth="1"/>
    <col min="11009" max="11009" width="26" customWidth="1"/>
    <col min="11010" max="11010" width="15.109375" customWidth="1"/>
    <col min="11014" max="11014" width="11.88671875" bestFit="1" customWidth="1"/>
    <col min="11265" max="11265" width="26" customWidth="1"/>
    <col min="11266" max="11266" width="15.109375" customWidth="1"/>
    <col min="11270" max="11270" width="11.88671875" bestFit="1" customWidth="1"/>
    <col min="11521" max="11521" width="26" customWidth="1"/>
    <col min="11522" max="11522" width="15.109375" customWidth="1"/>
    <col min="11526" max="11526" width="11.88671875" bestFit="1" customWidth="1"/>
    <col min="11777" max="11777" width="26" customWidth="1"/>
    <col min="11778" max="11778" width="15.109375" customWidth="1"/>
    <col min="11782" max="11782" width="11.88671875" bestFit="1" customWidth="1"/>
    <col min="12033" max="12033" width="26" customWidth="1"/>
    <col min="12034" max="12034" width="15.109375" customWidth="1"/>
    <col min="12038" max="12038" width="11.88671875" bestFit="1" customWidth="1"/>
    <col min="12289" max="12289" width="26" customWidth="1"/>
    <col min="12290" max="12290" width="15.109375" customWidth="1"/>
    <col min="12294" max="12294" width="11.88671875" bestFit="1" customWidth="1"/>
    <col min="12545" max="12545" width="26" customWidth="1"/>
    <col min="12546" max="12546" width="15.109375" customWidth="1"/>
    <col min="12550" max="12550" width="11.88671875" bestFit="1" customWidth="1"/>
    <col min="12801" max="12801" width="26" customWidth="1"/>
    <col min="12802" max="12802" width="15.109375" customWidth="1"/>
    <col min="12806" max="12806" width="11.88671875" bestFit="1" customWidth="1"/>
    <col min="13057" max="13057" width="26" customWidth="1"/>
    <col min="13058" max="13058" width="15.109375" customWidth="1"/>
    <col min="13062" max="13062" width="11.88671875" bestFit="1" customWidth="1"/>
    <col min="13313" max="13313" width="26" customWidth="1"/>
    <col min="13314" max="13314" width="15.109375" customWidth="1"/>
    <col min="13318" max="13318" width="11.88671875" bestFit="1" customWidth="1"/>
    <col min="13569" max="13569" width="26" customWidth="1"/>
    <col min="13570" max="13570" width="15.109375" customWidth="1"/>
    <col min="13574" max="13574" width="11.88671875" bestFit="1" customWidth="1"/>
    <col min="13825" max="13825" width="26" customWidth="1"/>
    <col min="13826" max="13826" width="15.109375" customWidth="1"/>
    <col min="13830" max="13830" width="11.88671875" bestFit="1" customWidth="1"/>
    <col min="14081" max="14081" width="26" customWidth="1"/>
    <col min="14082" max="14082" width="15.109375" customWidth="1"/>
    <col min="14086" max="14086" width="11.88671875" bestFit="1" customWidth="1"/>
    <col min="14337" max="14337" width="26" customWidth="1"/>
    <col min="14338" max="14338" width="15.109375" customWidth="1"/>
    <col min="14342" max="14342" width="11.88671875" bestFit="1" customWidth="1"/>
    <col min="14593" max="14593" width="26" customWidth="1"/>
    <col min="14594" max="14594" width="15.109375" customWidth="1"/>
    <col min="14598" max="14598" width="11.88671875" bestFit="1" customWidth="1"/>
    <col min="14849" max="14849" width="26" customWidth="1"/>
    <col min="14850" max="14850" width="15.109375" customWidth="1"/>
    <col min="14854" max="14854" width="11.88671875" bestFit="1" customWidth="1"/>
    <col min="15105" max="15105" width="26" customWidth="1"/>
    <col min="15106" max="15106" width="15.109375" customWidth="1"/>
    <col min="15110" max="15110" width="11.88671875" bestFit="1" customWidth="1"/>
    <col min="15361" max="15361" width="26" customWidth="1"/>
    <col min="15362" max="15362" width="15.109375" customWidth="1"/>
    <col min="15366" max="15366" width="11.88671875" bestFit="1" customWidth="1"/>
    <col min="15617" max="15617" width="26" customWidth="1"/>
    <col min="15618" max="15618" width="15.109375" customWidth="1"/>
    <col min="15622" max="15622" width="11.88671875" bestFit="1" customWidth="1"/>
    <col min="15873" max="15873" width="26" customWidth="1"/>
    <col min="15874" max="15874" width="15.109375" customWidth="1"/>
    <col min="15878" max="15878" width="11.88671875" bestFit="1" customWidth="1"/>
    <col min="16129" max="16129" width="26" customWidth="1"/>
    <col min="16130" max="16130" width="15.109375" customWidth="1"/>
    <col min="16134" max="16134" width="11.88671875" bestFit="1" customWidth="1"/>
  </cols>
  <sheetData>
    <row r="1" spans="1:6" ht="28.8" x14ac:dyDescent="0.3">
      <c r="A1" s="34" t="s">
        <v>116</v>
      </c>
      <c r="B1" s="34"/>
    </row>
    <row r="2" spans="1:6" x14ac:dyDescent="0.3">
      <c r="A2" s="1" t="s">
        <v>117</v>
      </c>
      <c r="B2" s="1">
        <v>230000</v>
      </c>
      <c r="F2" t="s">
        <v>88</v>
      </c>
    </row>
    <row r="3" spans="1:6" x14ac:dyDescent="0.3">
      <c r="A3" s="1" t="s">
        <v>84</v>
      </c>
      <c r="B3" s="1">
        <v>-3250</v>
      </c>
      <c r="F3" s="7">
        <f>PV(B7/B5,B5*B4,-B3)</f>
        <v>-229999.99999999537</v>
      </c>
    </row>
    <row r="4" spans="1:6" x14ac:dyDescent="0.3">
      <c r="A4" s="1" t="s">
        <v>77</v>
      </c>
      <c r="B4" s="1">
        <v>10</v>
      </c>
    </row>
    <row r="5" spans="1:6" x14ac:dyDescent="0.3">
      <c r="A5" s="1" t="s">
        <v>118</v>
      </c>
      <c r="B5" s="1">
        <v>12</v>
      </c>
    </row>
    <row r="6" spans="1:6" x14ac:dyDescent="0.3">
      <c r="A6" s="1" t="s">
        <v>96</v>
      </c>
      <c r="B6" s="182">
        <f>RATE(B5*B4,B3,B2)</f>
        <v>9.6864588002672763E-3</v>
      </c>
    </row>
    <row r="7" spans="1:6" x14ac:dyDescent="0.3">
      <c r="A7" s="1" t="s">
        <v>119</v>
      </c>
      <c r="B7" s="53">
        <f>B6*B5</f>
        <v>0.11623750560320731</v>
      </c>
    </row>
    <row r="8" spans="1:6" x14ac:dyDescent="0.3">
      <c r="A8" s="1" t="s">
        <v>71</v>
      </c>
      <c r="B8" s="53">
        <f>EFFECT(B7,B5)</f>
        <v>0.12263449397442594</v>
      </c>
    </row>
    <row r="9" spans="1:6" x14ac:dyDescent="0.3">
      <c r="A9" s="1" t="s">
        <v>71</v>
      </c>
      <c r="B9" s="53">
        <f>(1+B6)^B5-1</f>
        <v>0.12263449397442594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22"/>
  <sheetViews>
    <sheetView zoomScale="97" zoomScaleNormal="97" workbookViewId="0">
      <selection activeCell="J6" sqref="J6"/>
    </sheetView>
  </sheetViews>
  <sheetFormatPr defaultRowHeight="14.4" x14ac:dyDescent="0.3"/>
  <cols>
    <col min="1" max="1" width="23.109375" customWidth="1"/>
    <col min="2" max="2" width="10.88671875" customWidth="1"/>
    <col min="3" max="3" width="15.33203125" customWidth="1"/>
    <col min="4" max="4" width="14.109375" customWidth="1"/>
    <col min="5" max="5" width="10.44140625" bestFit="1" customWidth="1"/>
    <col min="6" max="6" width="10.5546875" bestFit="1" customWidth="1"/>
    <col min="8" max="8" width="10" bestFit="1" customWidth="1"/>
    <col min="10" max="10" width="10.44140625" bestFit="1" customWidth="1"/>
  </cols>
  <sheetData>
    <row r="1" spans="1:10" x14ac:dyDescent="0.3">
      <c r="A1" s="8" t="s">
        <v>9</v>
      </c>
      <c r="B1" s="1" t="s">
        <v>2</v>
      </c>
      <c r="C1" s="4">
        <v>0.1</v>
      </c>
      <c r="D1" t="s">
        <v>249</v>
      </c>
    </row>
    <row r="2" spans="1:10" ht="28.95" x14ac:dyDescent="0.3">
      <c r="A2" s="8" t="s">
        <v>27</v>
      </c>
      <c r="B2" s="1" t="s">
        <v>3</v>
      </c>
      <c r="C2" s="3">
        <v>2</v>
      </c>
    </row>
    <row r="3" spans="1:10" x14ac:dyDescent="0.3">
      <c r="A3" s="8" t="s">
        <v>10</v>
      </c>
      <c r="B3" s="1" t="s">
        <v>4</v>
      </c>
      <c r="C3" s="3">
        <v>5</v>
      </c>
    </row>
    <row r="4" spans="1:10" x14ac:dyDescent="0.3">
      <c r="A4" s="8" t="s">
        <v>11</v>
      </c>
      <c r="B4" s="1" t="s">
        <v>5</v>
      </c>
      <c r="C4" s="2"/>
    </row>
    <row r="5" spans="1:10" x14ac:dyDescent="0.3">
      <c r="A5" s="8" t="s">
        <v>12</v>
      </c>
      <c r="B5" s="1" t="s">
        <v>6</v>
      </c>
      <c r="C5" s="2"/>
      <c r="J5" t="s">
        <v>34</v>
      </c>
    </row>
    <row r="6" spans="1:10" x14ac:dyDescent="0.3">
      <c r="A6" s="8" t="s">
        <v>8</v>
      </c>
      <c r="B6" s="1" t="s">
        <v>0</v>
      </c>
      <c r="C6" s="18"/>
      <c r="J6" s="12"/>
    </row>
    <row r="7" spans="1:10" x14ac:dyDescent="0.3">
      <c r="A7" s="16"/>
      <c r="B7" s="5"/>
    </row>
    <row r="8" spans="1:10" ht="43.2" x14ac:dyDescent="0.3">
      <c r="A8" s="11" t="s">
        <v>25</v>
      </c>
      <c r="B8" s="11" t="s">
        <v>48</v>
      </c>
      <c r="C8" s="11" t="s">
        <v>31</v>
      </c>
      <c r="D8" s="11" t="s">
        <v>32</v>
      </c>
      <c r="F8" s="11" t="s">
        <v>13</v>
      </c>
    </row>
    <row r="9" spans="1:10" x14ac:dyDescent="0.3">
      <c r="A9" s="9" t="s">
        <v>14</v>
      </c>
      <c r="B9" s="1">
        <v>0</v>
      </c>
      <c r="C9" s="14"/>
      <c r="D9" s="18"/>
      <c r="F9" s="18"/>
    </row>
    <row r="10" spans="1:10" x14ac:dyDescent="0.3">
      <c r="A10" s="9" t="s">
        <v>15</v>
      </c>
      <c r="B10" s="1">
        <v>1</v>
      </c>
      <c r="C10" s="14"/>
      <c r="D10" s="18"/>
      <c r="F10" s="18"/>
    </row>
    <row r="11" spans="1:10" x14ac:dyDescent="0.3">
      <c r="A11" s="9" t="s">
        <v>16</v>
      </c>
      <c r="B11" s="1">
        <v>2</v>
      </c>
      <c r="C11" s="14"/>
      <c r="D11" s="18"/>
      <c r="F11" s="18"/>
    </row>
    <row r="12" spans="1:10" x14ac:dyDescent="0.3">
      <c r="A12" s="9" t="s">
        <v>17</v>
      </c>
      <c r="B12" s="1">
        <v>3</v>
      </c>
      <c r="C12" s="14"/>
      <c r="D12" s="18"/>
      <c r="F12" s="18"/>
    </row>
    <row r="13" spans="1:10" x14ac:dyDescent="0.3">
      <c r="A13" s="9" t="s">
        <v>18</v>
      </c>
      <c r="B13" s="1">
        <v>4</v>
      </c>
      <c r="C13" s="14">
        <v>1000</v>
      </c>
      <c r="D13" s="18"/>
      <c r="F13" s="18"/>
    </row>
    <row r="14" spans="1:10" x14ac:dyDescent="0.3">
      <c r="A14" s="9" t="s">
        <v>19</v>
      </c>
      <c r="B14" s="1">
        <v>5</v>
      </c>
      <c r="C14" s="14"/>
      <c r="D14" s="18"/>
      <c r="F14" s="18"/>
    </row>
    <row r="15" spans="1:10" x14ac:dyDescent="0.3">
      <c r="A15" s="9" t="s">
        <v>20</v>
      </c>
      <c r="B15" s="1">
        <v>6</v>
      </c>
      <c r="C15" s="14">
        <v>2000</v>
      </c>
      <c r="D15" s="18"/>
      <c r="F15" s="18"/>
    </row>
    <row r="16" spans="1:10" x14ac:dyDescent="0.3">
      <c r="A16" s="9" t="s">
        <v>21</v>
      </c>
      <c r="B16" s="1">
        <v>7</v>
      </c>
      <c r="C16" s="14"/>
      <c r="D16" s="18"/>
      <c r="F16" s="18"/>
    </row>
    <row r="17" spans="1:8" x14ac:dyDescent="0.3">
      <c r="A17" s="9" t="s">
        <v>22</v>
      </c>
      <c r="B17" s="1">
        <v>8</v>
      </c>
      <c r="C17" s="14"/>
      <c r="D17" s="18"/>
      <c r="F17" s="18"/>
    </row>
    <row r="18" spans="1:8" x14ac:dyDescent="0.3">
      <c r="A18" s="9" t="s">
        <v>23</v>
      </c>
      <c r="B18" s="1">
        <v>9</v>
      </c>
      <c r="C18" s="14"/>
      <c r="D18" s="18"/>
      <c r="F18" s="18"/>
    </row>
    <row r="19" spans="1:8" x14ac:dyDescent="0.3">
      <c r="A19" s="9" t="s">
        <v>24</v>
      </c>
      <c r="B19" s="1">
        <v>10</v>
      </c>
      <c r="C19" s="14">
        <v>6000</v>
      </c>
      <c r="D19" s="18"/>
      <c r="F19" s="18"/>
    </row>
    <row r="21" spans="1:8" x14ac:dyDescent="0.3">
      <c r="F21" s="13"/>
      <c r="H21" s="12"/>
    </row>
    <row r="22" spans="1:8" ht="28.95" x14ac:dyDescent="0.3">
      <c r="A22" s="15"/>
      <c r="C22" s="17" t="s">
        <v>33</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8"/>
  <sheetViews>
    <sheetView zoomScale="145" zoomScaleNormal="145" workbookViewId="0">
      <selection activeCell="B6" sqref="B6"/>
    </sheetView>
  </sheetViews>
  <sheetFormatPr defaultRowHeight="14.4" x14ac:dyDescent="0.3"/>
  <cols>
    <col min="1" max="1" width="23.5546875" bestFit="1" customWidth="1"/>
    <col min="2" max="2" width="9.5546875" bestFit="1" customWidth="1"/>
    <col min="257" max="257" width="23.5546875" bestFit="1" customWidth="1"/>
    <col min="258" max="258" width="9.5546875" bestFit="1" customWidth="1"/>
    <col min="513" max="513" width="23.5546875" bestFit="1" customWidth="1"/>
    <col min="514" max="514" width="9.5546875" bestFit="1" customWidth="1"/>
    <col min="769" max="769" width="23.5546875" bestFit="1" customWidth="1"/>
    <col min="770" max="770" width="9.5546875" bestFit="1" customWidth="1"/>
    <col min="1025" max="1025" width="23.5546875" bestFit="1" customWidth="1"/>
    <col min="1026" max="1026" width="9.5546875" bestFit="1" customWidth="1"/>
    <col min="1281" max="1281" width="23.5546875" bestFit="1" customWidth="1"/>
    <col min="1282" max="1282" width="9.5546875" bestFit="1" customWidth="1"/>
    <col min="1537" max="1537" width="23.5546875" bestFit="1" customWidth="1"/>
    <col min="1538" max="1538" width="9.5546875" bestFit="1" customWidth="1"/>
    <col min="1793" max="1793" width="23.5546875" bestFit="1" customWidth="1"/>
    <col min="1794" max="1794" width="9.5546875" bestFit="1" customWidth="1"/>
    <col min="2049" max="2049" width="23.5546875" bestFit="1" customWidth="1"/>
    <col min="2050" max="2050" width="9.5546875" bestFit="1" customWidth="1"/>
    <col min="2305" max="2305" width="23.5546875" bestFit="1" customWidth="1"/>
    <col min="2306" max="2306" width="9.5546875" bestFit="1" customWidth="1"/>
    <col min="2561" max="2561" width="23.5546875" bestFit="1" customWidth="1"/>
    <col min="2562" max="2562" width="9.5546875" bestFit="1" customWidth="1"/>
    <col min="2817" max="2817" width="23.5546875" bestFit="1" customWidth="1"/>
    <col min="2818" max="2818" width="9.5546875" bestFit="1" customWidth="1"/>
    <col min="3073" max="3073" width="23.5546875" bestFit="1" customWidth="1"/>
    <col min="3074" max="3074" width="9.5546875" bestFit="1" customWidth="1"/>
    <col min="3329" max="3329" width="23.5546875" bestFit="1" customWidth="1"/>
    <col min="3330" max="3330" width="9.5546875" bestFit="1" customWidth="1"/>
    <col min="3585" max="3585" width="23.5546875" bestFit="1" customWidth="1"/>
    <col min="3586" max="3586" width="9.5546875" bestFit="1" customWidth="1"/>
    <col min="3841" max="3841" width="23.5546875" bestFit="1" customWidth="1"/>
    <col min="3842" max="3842" width="9.5546875" bestFit="1" customWidth="1"/>
    <col min="4097" max="4097" width="23.5546875" bestFit="1" customWidth="1"/>
    <col min="4098" max="4098" width="9.5546875" bestFit="1" customWidth="1"/>
    <col min="4353" max="4353" width="23.5546875" bestFit="1" customWidth="1"/>
    <col min="4354" max="4354" width="9.5546875" bestFit="1" customWidth="1"/>
    <col min="4609" max="4609" width="23.5546875" bestFit="1" customWidth="1"/>
    <col min="4610" max="4610" width="9.5546875" bestFit="1" customWidth="1"/>
    <col min="4865" max="4865" width="23.5546875" bestFit="1" customWidth="1"/>
    <col min="4866" max="4866" width="9.5546875" bestFit="1" customWidth="1"/>
    <col min="5121" max="5121" width="23.5546875" bestFit="1" customWidth="1"/>
    <col min="5122" max="5122" width="9.5546875" bestFit="1" customWidth="1"/>
    <col min="5377" max="5377" width="23.5546875" bestFit="1" customWidth="1"/>
    <col min="5378" max="5378" width="9.5546875" bestFit="1" customWidth="1"/>
    <col min="5633" max="5633" width="23.5546875" bestFit="1" customWidth="1"/>
    <col min="5634" max="5634" width="9.5546875" bestFit="1" customWidth="1"/>
    <col min="5889" max="5889" width="23.5546875" bestFit="1" customWidth="1"/>
    <col min="5890" max="5890" width="9.5546875" bestFit="1" customWidth="1"/>
    <col min="6145" max="6145" width="23.5546875" bestFit="1" customWidth="1"/>
    <col min="6146" max="6146" width="9.5546875" bestFit="1" customWidth="1"/>
    <col min="6401" max="6401" width="23.5546875" bestFit="1" customWidth="1"/>
    <col min="6402" max="6402" width="9.5546875" bestFit="1" customWidth="1"/>
    <col min="6657" max="6657" width="23.5546875" bestFit="1" customWidth="1"/>
    <col min="6658" max="6658" width="9.5546875" bestFit="1" customWidth="1"/>
    <col min="6913" max="6913" width="23.5546875" bestFit="1" customWidth="1"/>
    <col min="6914" max="6914" width="9.5546875" bestFit="1" customWidth="1"/>
    <col min="7169" max="7169" width="23.5546875" bestFit="1" customWidth="1"/>
    <col min="7170" max="7170" width="9.5546875" bestFit="1" customWidth="1"/>
    <col min="7425" max="7425" width="23.5546875" bestFit="1" customWidth="1"/>
    <col min="7426" max="7426" width="9.5546875" bestFit="1" customWidth="1"/>
    <col min="7681" max="7681" width="23.5546875" bestFit="1" customWidth="1"/>
    <col min="7682" max="7682" width="9.5546875" bestFit="1" customWidth="1"/>
    <col min="7937" max="7937" width="23.5546875" bestFit="1" customWidth="1"/>
    <col min="7938" max="7938" width="9.5546875" bestFit="1" customWidth="1"/>
    <col min="8193" max="8193" width="23.5546875" bestFit="1" customWidth="1"/>
    <col min="8194" max="8194" width="9.5546875" bestFit="1" customWidth="1"/>
    <col min="8449" max="8449" width="23.5546875" bestFit="1" customWidth="1"/>
    <col min="8450" max="8450" width="9.5546875" bestFit="1" customWidth="1"/>
    <col min="8705" max="8705" width="23.5546875" bestFit="1" customWidth="1"/>
    <col min="8706" max="8706" width="9.5546875" bestFit="1" customWidth="1"/>
    <col min="8961" max="8961" width="23.5546875" bestFit="1" customWidth="1"/>
    <col min="8962" max="8962" width="9.5546875" bestFit="1" customWidth="1"/>
    <col min="9217" max="9217" width="23.5546875" bestFit="1" customWidth="1"/>
    <col min="9218" max="9218" width="9.5546875" bestFit="1" customWidth="1"/>
    <col min="9473" max="9473" width="23.5546875" bestFit="1" customWidth="1"/>
    <col min="9474" max="9474" width="9.5546875" bestFit="1" customWidth="1"/>
    <col min="9729" max="9729" width="23.5546875" bestFit="1" customWidth="1"/>
    <col min="9730" max="9730" width="9.5546875" bestFit="1" customWidth="1"/>
    <col min="9985" max="9985" width="23.5546875" bestFit="1" customWidth="1"/>
    <col min="9986" max="9986" width="9.5546875" bestFit="1" customWidth="1"/>
    <col min="10241" max="10241" width="23.5546875" bestFit="1" customWidth="1"/>
    <col min="10242" max="10242" width="9.5546875" bestFit="1" customWidth="1"/>
    <col min="10497" max="10497" width="23.5546875" bestFit="1" customWidth="1"/>
    <col min="10498" max="10498" width="9.5546875" bestFit="1" customWidth="1"/>
    <col min="10753" max="10753" width="23.5546875" bestFit="1" customWidth="1"/>
    <col min="10754" max="10754" width="9.5546875" bestFit="1" customWidth="1"/>
    <col min="11009" max="11009" width="23.5546875" bestFit="1" customWidth="1"/>
    <col min="11010" max="11010" width="9.5546875" bestFit="1" customWidth="1"/>
    <col min="11265" max="11265" width="23.5546875" bestFit="1" customWidth="1"/>
    <col min="11266" max="11266" width="9.5546875" bestFit="1" customWidth="1"/>
    <col min="11521" max="11521" width="23.5546875" bestFit="1" customWidth="1"/>
    <col min="11522" max="11522" width="9.5546875" bestFit="1" customWidth="1"/>
    <col min="11777" max="11777" width="23.5546875" bestFit="1" customWidth="1"/>
    <col min="11778" max="11778" width="9.5546875" bestFit="1" customWidth="1"/>
    <col min="12033" max="12033" width="23.5546875" bestFit="1" customWidth="1"/>
    <col min="12034" max="12034" width="9.5546875" bestFit="1" customWidth="1"/>
    <col min="12289" max="12289" width="23.5546875" bestFit="1" customWidth="1"/>
    <col min="12290" max="12290" width="9.5546875" bestFit="1" customWidth="1"/>
    <col min="12545" max="12545" width="23.5546875" bestFit="1" customWidth="1"/>
    <col min="12546" max="12546" width="9.5546875" bestFit="1" customWidth="1"/>
    <col min="12801" max="12801" width="23.5546875" bestFit="1" customWidth="1"/>
    <col min="12802" max="12802" width="9.5546875" bestFit="1" customWidth="1"/>
    <col min="13057" max="13057" width="23.5546875" bestFit="1" customWidth="1"/>
    <col min="13058" max="13058" width="9.5546875" bestFit="1" customWidth="1"/>
    <col min="13313" max="13313" width="23.5546875" bestFit="1" customWidth="1"/>
    <col min="13314" max="13314" width="9.5546875" bestFit="1" customWidth="1"/>
    <col min="13569" max="13569" width="23.5546875" bestFit="1" customWidth="1"/>
    <col min="13570" max="13570" width="9.5546875" bestFit="1" customWidth="1"/>
    <col min="13825" max="13825" width="23.5546875" bestFit="1" customWidth="1"/>
    <col min="13826" max="13826" width="9.5546875" bestFit="1" customWidth="1"/>
    <col min="14081" max="14081" width="23.5546875" bestFit="1" customWidth="1"/>
    <col min="14082" max="14082" width="9.5546875" bestFit="1" customWidth="1"/>
    <col min="14337" max="14337" width="23.5546875" bestFit="1" customWidth="1"/>
    <col min="14338" max="14338" width="9.5546875" bestFit="1" customWidth="1"/>
    <col min="14593" max="14593" width="23.5546875" bestFit="1" customWidth="1"/>
    <col min="14594" max="14594" width="9.5546875" bestFit="1" customWidth="1"/>
    <col min="14849" max="14849" width="23.5546875" bestFit="1" customWidth="1"/>
    <col min="14850" max="14850" width="9.5546875" bestFit="1" customWidth="1"/>
    <col min="15105" max="15105" width="23.5546875" bestFit="1" customWidth="1"/>
    <col min="15106" max="15106" width="9.5546875" bestFit="1" customWidth="1"/>
    <col min="15361" max="15361" width="23.5546875" bestFit="1" customWidth="1"/>
    <col min="15362" max="15362" width="9.5546875" bestFit="1" customWidth="1"/>
    <col min="15617" max="15617" width="23.5546875" bestFit="1" customWidth="1"/>
    <col min="15618" max="15618" width="9.5546875" bestFit="1" customWidth="1"/>
    <col min="15873" max="15873" width="23.5546875" bestFit="1" customWidth="1"/>
    <col min="15874" max="15874" width="9.5546875" bestFit="1" customWidth="1"/>
    <col min="16129" max="16129" width="23.5546875" bestFit="1" customWidth="1"/>
    <col min="16130" max="16130" width="9.5546875" bestFit="1" customWidth="1"/>
  </cols>
  <sheetData>
    <row r="1" spans="1:6" ht="28.8" x14ac:dyDescent="0.3">
      <c r="A1" s="173" t="s">
        <v>120</v>
      </c>
      <c r="B1" s="144"/>
      <c r="C1" s="144"/>
      <c r="D1" s="144"/>
      <c r="E1" s="141"/>
    </row>
    <row r="2" spans="1:6" x14ac:dyDescent="0.3">
      <c r="A2" s="1" t="s">
        <v>121</v>
      </c>
      <c r="B2" s="64">
        <v>7500</v>
      </c>
    </row>
    <row r="3" spans="1:6" x14ac:dyDescent="0.3">
      <c r="A3" s="1" t="s">
        <v>57</v>
      </c>
      <c r="B3" s="45">
        <v>0.18</v>
      </c>
    </row>
    <row r="4" spans="1:6" x14ac:dyDescent="0.3">
      <c r="A4" s="1" t="s">
        <v>39</v>
      </c>
      <c r="B4" s="1">
        <v>12</v>
      </c>
    </row>
    <row r="5" spans="1:6" x14ac:dyDescent="0.3">
      <c r="A5" s="1" t="s">
        <v>122</v>
      </c>
      <c r="B5" s="21">
        <v>-125</v>
      </c>
    </row>
    <row r="6" spans="1:6" x14ac:dyDescent="0.3">
      <c r="A6" s="1" t="s">
        <v>123</v>
      </c>
      <c r="B6" s="42"/>
    </row>
    <row r="7" spans="1:6" x14ac:dyDescent="0.3">
      <c r="A7" s="1" t="s">
        <v>124</v>
      </c>
      <c r="B7" s="42"/>
    </row>
    <row r="8" spans="1:6" ht="45" customHeight="1" x14ac:dyDescent="0.3">
      <c r="A8" s="1" t="s">
        <v>82</v>
      </c>
      <c r="B8" s="44" t="str">
        <f>IF(B7="","","It will take "&amp;B7&amp;" years to pay off the credit card if we make only the minimum payment each period.")</f>
        <v/>
      </c>
      <c r="C8" s="59"/>
      <c r="D8" s="59"/>
      <c r="E8" s="59"/>
      <c r="F8" s="60"/>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
  <sheetViews>
    <sheetView zoomScale="160" zoomScaleNormal="160" workbookViewId="0">
      <selection activeCell="B6" sqref="B6"/>
    </sheetView>
  </sheetViews>
  <sheetFormatPr defaultRowHeight="14.4" x14ac:dyDescent="0.3"/>
  <cols>
    <col min="1" max="1" width="23.5546875" bestFit="1" customWidth="1"/>
    <col min="2" max="2" width="9.5546875" bestFit="1" customWidth="1"/>
    <col min="257" max="257" width="23.5546875" bestFit="1" customWidth="1"/>
    <col min="258" max="258" width="9.5546875" bestFit="1" customWidth="1"/>
    <col min="513" max="513" width="23.5546875" bestFit="1" customWidth="1"/>
    <col min="514" max="514" width="9.5546875" bestFit="1" customWidth="1"/>
    <col min="769" max="769" width="23.5546875" bestFit="1" customWidth="1"/>
    <col min="770" max="770" width="9.5546875" bestFit="1" customWidth="1"/>
    <col min="1025" max="1025" width="23.5546875" bestFit="1" customWidth="1"/>
    <col min="1026" max="1026" width="9.5546875" bestFit="1" customWidth="1"/>
    <col min="1281" max="1281" width="23.5546875" bestFit="1" customWidth="1"/>
    <col min="1282" max="1282" width="9.5546875" bestFit="1" customWidth="1"/>
    <col min="1537" max="1537" width="23.5546875" bestFit="1" customWidth="1"/>
    <col min="1538" max="1538" width="9.5546875" bestFit="1" customWidth="1"/>
    <col min="1793" max="1793" width="23.5546875" bestFit="1" customWidth="1"/>
    <col min="1794" max="1794" width="9.5546875" bestFit="1" customWidth="1"/>
    <col min="2049" max="2049" width="23.5546875" bestFit="1" customWidth="1"/>
    <col min="2050" max="2050" width="9.5546875" bestFit="1" customWidth="1"/>
    <col min="2305" max="2305" width="23.5546875" bestFit="1" customWidth="1"/>
    <col min="2306" max="2306" width="9.5546875" bestFit="1" customWidth="1"/>
    <col min="2561" max="2561" width="23.5546875" bestFit="1" customWidth="1"/>
    <col min="2562" max="2562" width="9.5546875" bestFit="1" customWidth="1"/>
    <col min="2817" max="2817" width="23.5546875" bestFit="1" customWidth="1"/>
    <col min="2818" max="2818" width="9.5546875" bestFit="1" customWidth="1"/>
    <col min="3073" max="3073" width="23.5546875" bestFit="1" customWidth="1"/>
    <col min="3074" max="3074" width="9.5546875" bestFit="1" customWidth="1"/>
    <col min="3329" max="3329" width="23.5546875" bestFit="1" customWidth="1"/>
    <col min="3330" max="3330" width="9.5546875" bestFit="1" customWidth="1"/>
    <col min="3585" max="3585" width="23.5546875" bestFit="1" customWidth="1"/>
    <col min="3586" max="3586" width="9.5546875" bestFit="1" customWidth="1"/>
    <col min="3841" max="3841" width="23.5546875" bestFit="1" customWidth="1"/>
    <col min="3842" max="3842" width="9.5546875" bestFit="1" customWidth="1"/>
    <col min="4097" max="4097" width="23.5546875" bestFit="1" customWidth="1"/>
    <col min="4098" max="4098" width="9.5546875" bestFit="1" customWidth="1"/>
    <col min="4353" max="4353" width="23.5546875" bestFit="1" customWidth="1"/>
    <col min="4354" max="4354" width="9.5546875" bestFit="1" customWidth="1"/>
    <col min="4609" max="4609" width="23.5546875" bestFit="1" customWidth="1"/>
    <col min="4610" max="4610" width="9.5546875" bestFit="1" customWidth="1"/>
    <col min="4865" max="4865" width="23.5546875" bestFit="1" customWidth="1"/>
    <col min="4866" max="4866" width="9.5546875" bestFit="1" customWidth="1"/>
    <col min="5121" max="5121" width="23.5546875" bestFit="1" customWidth="1"/>
    <col min="5122" max="5122" width="9.5546875" bestFit="1" customWidth="1"/>
    <col min="5377" max="5377" width="23.5546875" bestFit="1" customWidth="1"/>
    <col min="5378" max="5378" width="9.5546875" bestFit="1" customWidth="1"/>
    <col min="5633" max="5633" width="23.5546875" bestFit="1" customWidth="1"/>
    <col min="5634" max="5634" width="9.5546875" bestFit="1" customWidth="1"/>
    <col min="5889" max="5889" width="23.5546875" bestFit="1" customWidth="1"/>
    <col min="5890" max="5890" width="9.5546875" bestFit="1" customWidth="1"/>
    <col min="6145" max="6145" width="23.5546875" bestFit="1" customWidth="1"/>
    <col min="6146" max="6146" width="9.5546875" bestFit="1" customWidth="1"/>
    <col min="6401" max="6401" width="23.5546875" bestFit="1" customWidth="1"/>
    <col min="6402" max="6402" width="9.5546875" bestFit="1" customWidth="1"/>
    <col min="6657" max="6657" width="23.5546875" bestFit="1" customWidth="1"/>
    <col min="6658" max="6658" width="9.5546875" bestFit="1" customWidth="1"/>
    <col min="6913" max="6913" width="23.5546875" bestFit="1" customWidth="1"/>
    <col min="6914" max="6914" width="9.5546875" bestFit="1" customWidth="1"/>
    <col min="7169" max="7169" width="23.5546875" bestFit="1" customWidth="1"/>
    <col min="7170" max="7170" width="9.5546875" bestFit="1" customWidth="1"/>
    <col min="7425" max="7425" width="23.5546875" bestFit="1" customWidth="1"/>
    <col min="7426" max="7426" width="9.5546875" bestFit="1" customWidth="1"/>
    <col min="7681" max="7681" width="23.5546875" bestFit="1" customWidth="1"/>
    <col min="7682" max="7682" width="9.5546875" bestFit="1" customWidth="1"/>
    <col min="7937" max="7937" width="23.5546875" bestFit="1" customWidth="1"/>
    <col min="7938" max="7938" width="9.5546875" bestFit="1" customWidth="1"/>
    <col min="8193" max="8193" width="23.5546875" bestFit="1" customWidth="1"/>
    <col min="8194" max="8194" width="9.5546875" bestFit="1" customWidth="1"/>
    <col min="8449" max="8449" width="23.5546875" bestFit="1" customWidth="1"/>
    <col min="8450" max="8450" width="9.5546875" bestFit="1" customWidth="1"/>
    <col min="8705" max="8705" width="23.5546875" bestFit="1" customWidth="1"/>
    <col min="8706" max="8706" width="9.5546875" bestFit="1" customWidth="1"/>
    <col min="8961" max="8961" width="23.5546875" bestFit="1" customWidth="1"/>
    <col min="8962" max="8962" width="9.5546875" bestFit="1" customWidth="1"/>
    <col min="9217" max="9217" width="23.5546875" bestFit="1" customWidth="1"/>
    <col min="9218" max="9218" width="9.5546875" bestFit="1" customWidth="1"/>
    <col min="9473" max="9473" width="23.5546875" bestFit="1" customWidth="1"/>
    <col min="9474" max="9474" width="9.5546875" bestFit="1" customWidth="1"/>
    <col min="9729" max="9729" width="23.5546875" bestFit="1" customWidth="1"/>
    <col min="9730" max="9730" width="9.5546875" bestFit="1" customWidth="1"/>
    <col min="9985" max="9985" width="23.5546875" bestFit="1" customWidth="1"/>
    <col min="9986" max="9986" width="9.5546875" bestFit="1" customWidth="1"/>
    <col min="10241" max="10241" width="23.5546875" bestFit="1" customWidth="1"/>
    <col min="10242" max="10242" width="9.5546875" bestFit="1" customWidth="1"/>
    <col min="10497" max="10497" width="23.5546875" bestFit="1" customWidth="1"/>
    <col min="10498" max="10498" width="9.5546875" bestFit="1" customWidth="1"/>
    <col min="10753" max="10753" width="23.5546875" bestFit="1" customWidth="1"/>
    <col min="10754" max="10754" width="9.5546875" bestFit="1" customWidth="1"/>
    <col min="11009" max="11009" width="23.5546875" bestFit="1" customWidth="1"/>
    <col min="11010" max="11010" width="9.5546875" bestFit="1" customWidth="1"/>
    <col min="11265" max="11265" width="23.5546875" bestFit="1" customWidth="1"/>
    <col min="11266" max="11266" width="9.5546875" bestFit="1" customWidth="1"/>
    <col min="11521" max="11521" width="23.5546875" bestFit="1" customWidth="1"/>
    <col min="11522" max="11522" width="9.5546875" bestFit="1" customWidth="1"/>
    <col min="11777" max="11777" width="23.5546875" bestFit="1" customWidth="1"/>
    <col min="11778" max="11778" width="9.5546875" bestFit="1" customWidth="1"/>
    <col min="12033" max="12033" width="23.5546875" bestFit="1" customWidth="1"/>
    <col min="12034" max="12034" width="9.5546875" bestFit="1" customWidth="1"/>
    <col min="12289" max="12289" width="23.5546875" bestFit="1" customWidth="1"/>
    <col min="12290" max="12290" width="9.5546875" bestFit="1" customWidth="1"/>
    <col min="12545" max="12545" width="23.5546875" bestFit="1" customWidth="1"/>
    <col min="12546" max="12546" width="9.5546875" bestFit="1" customWidth="1"/>
    <col min="12801" max="12801" width="23.5546875" bestFit="1" customWidth="1"/>
    <col min="12802" max="12802" width="9.5546875" bestFit="1" customWidth="1"/>
    <col min="13057" max="13057" width="23.5546875" bestFit="1" customWidth="1"/>
    <col min="13058" max="13058" width="9.5546875" bestFit="1" customWidth="1"/>
    <col min="13313" max="13313" width="23.5546875" bestFit="1" customWidth="1"/>
    <col min="13314" max="13314" width="9.5546875" bestFit="1" customWidth="1"/>
    <col min="13569" max="13569" width="23.5546875" bestFit="1" customWidth="1"/>
    <col min="13570" max="13570" width="9.5546875" bestFit="1" customWidth="1"/>
    <col min="13825" max="13825" width="23.5546875" bestFit="1" customWidth="1"/>
    <col min="13826" max="13826" width="9.5546875" bestFit="1" customWidth="1"/>
    <col min="14081" max="14081" width="23.5546875" bestFit="1" customWidth="1"/>
    <col min="14082" max="14082" width="9.5546875" bestFit="1" customWidth="1"/>
    <col min="14337" max="14337" width="23.5546875" bestFit="1" customWidth="1"/>
    <col min="14338" max="14338" width="9.5546875" bestFit="1" customWidth="1"/>
    <col min="14593" max="14593" width="23.5546875" bestFit="1" customWidth="1"/>
    <col min="14594" max="14594" width="9.5546875" bestFit="1" customWidth="1"/>
    <col min="14849" max="14849" width="23.5546875" bestFit="1" customWidth="1"/>
    <col min="14850" max="14850" width="9.5546875" bestFit="1" customWidth="1"/>
    <col min="15105" max="15105" width="23.5546875" bestFit="1" customWidth="1"/>
    <col min="15106" max="15106" width="9.5546875" bestFit="1" customWidth="1"/>
    <col min="15361" max="15361" width="23.5546875" bestFit="1" customWidth="1"/>
    <col min="15362" max="15362" width="9.5546875" bestFit="1" customWidth="1"/>
    <col min="15617" max="15617" width="23.5546875" bestFit="1" customWidth="1"/>
    <col min="15618" max="15618" width="9.5546875" bestFit="1" customWidth="1"/>
    <col min="15873" max="15873" width="23.5546875" bestFit="1" customWidth="1"/>
    <col min="15874" max="15874" width="9.5546875" bestFit="1" customWidth="1"/>
    <col min="16129" max="16129" width="23.5546875" bestFit="1" customWidth="1"/>
    <col min="16130" max="16130" width="9.5546875" bestFit="1" customWidth="1"/>
  </cols>
  <sheetData>
    <row r="1" spans="1:6" ht="28.8" x14ac:dyDescent="0.3">
      <c r="A1" s="173" t="s">
        <v>120</v>
      </c>
      <c r="B1" s="144"/>
      <c r="C1" s="144"/>
      <c r="D1" s="144"/>
      <c r="E1" s="141"/>
    </row>
    <row r="2" spans="1:6" x14ac:dyDescent="0.3">
      <c r="A2" s="1" t="s">
        <v>121</v>
      </c>
      <c r="B2" s="64">
        <v>7500</v>
      </c>
    </row>
    <row r="3" spans="1:6" x14ac:dyDescent="0.3">
      <c r="A3" s="1" t="s">
        <v>57</v>
      </c>
      <c r="B3" s="45">
        <v>0.18</v>
      </c>
    </row>
    <row r="4" spans="1:6" x14ac:dyDescent="0.3">
      <c r="A4" s="1" t="s">
        <v>39</v>
      </c>
      <c r="B4" s="1">
        <v>12</v>
      </c>
    </row>
    <row r="5" spans="1:6" x14ac:dyDescent="0.3">
      <c r="A5" s="1" t="s">
        <v>122</v>
      </c>
      <c r="B5" s="21">
        <v>-125</v>
      </c>
    </row>
    <row r="6" spans="1:6" x14ac:dyDescent="0.3">
      <c r="A6" s="1" t="s">
        <v>123</v>
      </c>
      <c r="B6" s="42">
        <f>NPER(B3/B4,B5,B2)</f>
        <v>154.65410856522377</v>
      </c>
    </row>
    <row r="7" spans="1:6" x14ac:dyDescent="0.3">
      <c r="A7" s="1" t="s">
        <v>124</v>
      </c>
      <c r="B7" s="42">
        <f>B6/B4</f>
        <v>12.887842380435314</v>
      </c>
    </row>
    <row r="8" spans="1:6" ht="43.2" x14ac:dyDescent="0.3">
      <c r="A8" s="1" t="s">
        <v>82</v>
      </c>
      <c r="B8" s="44" t="str">
        <f>IF(B7="","","It will take "&amp;B7&amp;" years to pay off the credit card if we make only the minimum payment each period.")</f>
        <v>It will take 12.8878423804353 years to pay off the credit card if we make only the minimum payment each period.</v>
      </c>
      <c r="C8" s="59"/>
      <c r="D8" s="59"/>
      <c r="E8" s="59"/>
      <c r="F8" s="60"/>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5"/>
  <sheetViews>
    <sheetView zoomScale="145" zoomScaleNormal="145" workbookViewId="0">
      <selection activeCell="B4" sqref="B4"/>
    </sheetView>
  </sheetViews>
  <sheetFormatPr defaultRowHeight="14.4" x14ac:dyDescent="0.3"/>
  <cols>
    <col min="1" max="1" width="28.6640625" customWidth="1"/>
    <col min="257" max="257" width="28.6640625" customWidth="1"/>
    <col min="513" max="513" width="28.6640625" customWidth="1"/>
    <col min="769" max="769" width="28.6640625" customWidth="1"/>
    <col min="1025" max="1025" width="28.6640625" customWidth="1"/>
    <col min="1281" max="1281" width="28.6640625" customWidth="1"/>
    <col min="1537" max="1537" width="28.6640625" customWidth="1"/>
    <col min="1793" max="1793" width="28.6640625" customWidth="1"/>
    <col min="2049" max="2049" width="28.6640625" customWidth="1"/>
    <col min="2305" max="2305" width="28.6640625" customWidth="1"/>
    <col min="2561" max="2561" width="28.6640625" customWidth="1"/>
    <col min="2817" max="2817" width="28.6640625" customWidth="1"/>
    <col min="3073" max="3073" width="28.6640625" customWidth="1"/>
    <col min="3329" max="3329" width="28.6640625" customWidth="1"/>
    <col min="3585" max="3585" width="28.6640625" customWidth="1"/>
    <col min="3841" max="3841" width="28.6640625" customWidth="1"/>
    <col min="4097" max="4097" width="28.6640625" customWidth="1"/>
    <col min="4353" max="4353" width="28.6640625" customWidth="1"/>
    <col min="4609" max="4609" width="28.6640625" customWidth="1"/>
    <col min="4865" max="4865" width="28.6640625" customWidth="1"/>
    <col min="5121" max="5121" width="28.6640625" customWidth="1"/>
    <col min="5377" max="5377" width="28.6640625" customWidth="1"/>
    <col min="5633" max="5633" width="28.6640625" customWidth="1"/>
    <col min="5889" max="5889" width="28.6640625" customWidth="1"/>
    <col min="6145" max="6145" width="28.6640625" customWidth="1"/>
    <col min="6401" max="6401" width="28.6640625" customWidth="1"/>
    <col min="6657" max="6657" width="28.6640625" customWidth="1"/>
    <col min="6913" max="6913" width="28.6640625" customWidth="1"/>
    <col min="7169" max="7169" width="28.6640625" customWidth="1"/>
    <col min="7425" max="7425" width="28.6640625" customWidth="1"/>
    <col min="7681" max="7681" width="28.6640625" customWidth="1"/>
    <col min="7937" max="7937" width="28.6640625" customWidth="1"/>
    <col min="8193" max="8193" width="28.6640625" customWidth="1"/>
    <col min="8449" max="8449" width="28.6640625" customWidth="1"/>
    <col min="8705" max="8705" width="28.6640625" customWidth="1"/>
    <col min="8961" max="8961" width="28.6640625" customWidth="1"/>
    <col min="9217" max="9217" width="28.6640625" customWidth="1"/>
    <col min="9473" max="9473" width="28.6640625" customWidth="1"/>
    <col min="9729" max="9729" width="28.6640625" customWidth="1"/>
    <col min="9985" max="9985" width="28.6640625" customWidth="1"/>
    <col min="10241" max="10241" width="28.6640625" customWidth="1"/>
    <col min="10497" max="10497" width="28.6640625" customWidth="1"/>
    <col min="10753" max="10753" width="28.6640625" customWidth="1"/>
    <col min="11009" max="11009" width="28.6640625" customWidth="1"/>
    <col min="11265" max="11265" width="28.6640625" customWidth="1"/>
    <col min="11521" max="11521" width="28.6640625" customWidth="1"/>
    <col min="11777" max="11777" width="28.6640625" customWidth="1"/>
    <col min="12033" max="12033" width="28.6640625" customWidth="1"/>
    <col min="12289" max="12289" width="28.6640625" customWidth="1"/>
    <col min="12545" max="12545" width="28.6640625" customWidth="1"/>
    <col min="12801" max="12801" width="28.6640625" customWidth="1"/>
    <col min="13057" max="13057" width="28.6640625" customWidth="1"/>
    <col min="13313" max="13313" width="28.6640625" customWidth="1"/>
    <col min="13569" max="13569" width="28.6640625" customWidth="1"/>
    <col min="13825" max="13825" width="28.6640625" customWidth="1"/>
    <col min="14081" max="14081" width="28.6640625" customWidth="1"/>
    <col min="14337" max="14337" width="28.6640625" customWidth="1"/>
    <col min="14593" max="14593" width="28.6640625" customWidth="1"/>
    <col min="14849" max="14849" width="28.6640625" customWidth="1"/>
    <col min="15105" max="15105" width="28.6640625" customWidth="1"/>
    <col min="15361" max="15361" width="28.6640625" customWidth="1"/>
    <col min="15617" max="15617" width="28.6640625" customWidth="1"/>
    <col min="15873" max="15873" width="28.6640625" customWidth="1"/>
    <col min="16129" max="16129" width="28.6640625" customWidth="1"/>
  </cols>
  <sheetData>
    <row r="1" spans="1:8" ht="28.95" x14ac:dyDescent="0.3">
      <c r="A1" s="58" t="s">
        <v>125</v>
      </c>
      <c r="B1" s="59"/>
      <c r="C1" s="59"/>
      <c r="D1" s="59"/>
      <c r="E1" s="59"/>
      <c r="F1" s="59"/>
      <c r="G1" s="60"/>
    </row>
    <row r="2" spans="1:8" x14ac:dyDescent="0.3">
      <c r="A2" s="1" t="s">
        <v>126</v>
      </c>
      <c r="B2" s="1">
        <v>1.25</v>
      </c>
    </row>
    <row r="3" spans="1:8" x14ac:dyDescent="0.3">
      <c r="A3" s="1" t="s">
        <v>127</v>
      </c>
      <c r="B3" s="1">
        <v>0.04</v>
      </c>
    </row>
    <row r="4" spans="1:8" x14ac:dyDescent="0.3">
      <c r="A4" s="1" t="s">
        <v>128</v>
      </c>
      <c r="B4" s="42"/>
    </row>
    <row r="5" spans="1:8" x14ac:dyDescent="0.3">
      <c r="A5" s="70" t="s">
        <v>82</v>
      </c>
      <c r="B5" s="58" t="str">
        <f>IF(B4="","","The value of a stock with these parameters would be "&amp;DOLLAR(B4)&amp;".")</f>
        <v/>
      </c>
      <c r="C5" s="59"/>
      <c r="D5" s="59"/>
      <c r="E5" s="59"/>
      <c r="F5" s="59"/>
      <c r="G5" s="59"/>
      <c r="H5" s="60"/>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
  <sheetViews>
    <sheetView zoomScale="130" zoomScaleNormal="130" workbookViewId="0">
      <selection activeCell="B15" sqref="B15"/>
    </sheetView>
  </sheetViews>
  <sheetFormatPr defaultRowHeight="14.4" x14ac:dyDescent="0.3"/>
  <cols>
    <col min="1" max="1" width="28.6640625" customWidth="1"/>
    <col min="257" max="257" width="28.6640625" customWidth="1"/>
    <col min="513" max="513" width="28.6640625" customWidth="1"/>
    <col min="769" max="769" width="28.6640625" customWidth="1"/>
    <col min="1025" max="1025" width="28.6640625" customWidth="1"/>
    <col min="1281" max="1281" width="28.6640625" customWidth="1"/>
    <col min="1537" max="1537" width="28.6640625" customWidth="1"/>
    <col min="1793" max="1793" width="28.6640625" customWidth="1"/>
    <col min="2049" max="2049" width="28.6640625" customWidth="1"/>
    <col min="2305" max="2305" width="28.6640625" customWidth="1"/>
    <col min="2561" max="2561" width="28.6640625" customWidth="1"/>
    <col min="2817" max="2817" width="28.6640625" customWidth="1"/>
    <col min="3073" max="3073" width="28.6640625" customWidth="1"/>
    <col min="3329" max="3329" width="28.6640625" customWidth="1"/>
    <col min="3585" max="3585" width="28.6640625" customWidth="1"/>
    <col min="3841" max="3841" width="28.6640625" customWidth="1"/>
    <col min="4097" max="4097" width="28.6640625" customWidth="1"/>
    <col min="4353" max="4353" width="28.6640625" customWidth="1"/>
    <col min="4609" max="4609" width="28.6640625" customWidth="1"/>
    <col min="4865" max="4865" width="28.6640625" customWidth="1"/>
    <col min="5121" max="5121" width="28.6640625" customWidth="1"/>
    <col min="5377" max="5377" width="28.6640625" customWidth="1"/>
    <col min="5633" max="5633" width="28.6640625" customWidth="1"/>
    <col min="5889" max="5889" width="28.6640625" customWidth="1"/>
    <col min="6145" max="6145" width="28.6640625" customWidth="1"/>
    <col min="6401" max="6401" width="28.6640625" customWidth="1"/>
    <col min="6657" max="6657" width="28.6640625" customWidth="1"/>
    <col min="6913" max="6913" width="28.6640625" customWidth="1"/>
    <col min="7169" max="7169" width="28.6640625" customWidth="1"/>
    <col min="7425" max="7425" width="28.6640625" customWidth="1"/>
    <col min="7681" max="7681" width="28.6640625" customWidth="1"/>
    <col min="7937" max="7937" width="28.6640625" customWidth="1"/>
    <col min="8193" max="8193" width="28.6640625" customWidth="1"/>
    <col min="8449" max="8449" width="28.6640625" customWidth="1"/>
    <col min="8705" max="8705" width="28.6640625" customWidth="1"/>
    <col min="8961" max="8961" width="28.6640625" customWidth="1"/>
    <col min="9217" max="9217" width="28.6640625" customWidth="1"/>
    <col min="9473" max="9473" width="28.6640625" customWidth="1"/>
    <col min="9729" max="9729" width="28.6640625" customWidth="1"/>
    <col min="9985" max="9985" width="28.6640625" customWidth="1"/>
    <col min="10241" max="10241" width="28.6640625" customWidth="1"/>
    <col min="10497" max="10497" width="28.6640625" customWidth="1"/>
    <col min="10753" max="10753" width="28.6640625" customWidth="1"/>
    <col min="11009" max="11009" width="28.6640625" customWidth="1"/>
    <col min="11265" max="11265" width="28.6640625" customWidth="1"/>
    <col min="11521" max="11521" width="28.6640625" customWidth="1"/>
    <col min="11777" max="11777" width="28.6640625" customWidth="1"/>
    <col min="12033" max="12033" width="28.6640625" customWidth="1"/>
    <col min="12289" max="12289" width="28.6640625" customWidth="1"/>
    <col min="12545" max="12545" width="28.6640625" customWidth="1"/>
    <col min="12801" max="12801" width="28.6640625" customWidth="1"/>
    <col min="13057" max="13057" width="28.6640625" customWidth="1"/>
    <col min="13313" max="13313" width="28.6640625" customWidth="1"/>
    <col min="13569" max="13569" width="28.6640625" customWidth="1"/>
    <col min="13825" max="13825" width="28.6640625" customWidth="1"/>
    <col min="14081" max="14081" width="28.6640625" customWidth="1"/>
    <col min="14337" max="14337" width="28.6640625" customWidth="1"/>
    <col min="14593" max="14593" width="28.6640625" customWidth="1"/>
    <col min="14849" max="14849" width="28.6640625" customWidth="1"/>
    <col min="15105" max="15105" width="28.6640625" customWidth="1"/>
    <col min="15361" max="15361" width="28.6640625" customWidth="1"/>
    <col min="15617" max="15617" width="28.6640625" customWidth="1"/>
    <col min="15873" max="15873" width="28.6640625" customWidth="1"/>
    <col min="16129" max="16129" width="28.6640625" customWidth="1"/>
  </cols>
  <sheetData>
    <row r="1" spans="1:8" ht="28.95" x14ac:dyDescent="0.3">
      <c r="A1" s="58" t="s">
        <v>125</v>
      </c>
      <c r="B1" s="59"/>
      <c r="C1" s="59"/>
      <c r="D1" s="59"/>
      <c r="E1" s="59"/>
      <c r="F1" s="59"/>
      <c r="G1" s="60"/>
    </row>
    <row r="2" spans="1:8" x14ac:dyDescent="0.3">
      <c r="A2" s="1" t="s">
        <v>126</v>
      </c>
      <c r="B2" s="1">
        <v>1.25</v>
      </c>
    </row>
    <row r="3" spans="1:8" x14ac:dyDescent="0.3">
      <c r="A3" s="1" t="s">
        <v>127</v>
      </c>
      <c r="B3" s="1">
        <v>0.04</v>
      </c>
    </row>
    <row r="4" spans="1:8" x14ac:dyDescent="0.3">
      <c r="A4" s="1" t="s">
        <v>128</v>
      </c>
      <c r="B4" s="42">
        <f>B2/B3</f>
        <v>31.25</v>
      </c>
    </row>
    <row r="5" spans="1:8" x14ac:dyDescent="0.3">
      <c r="A5" s="70" t="s">
        <v>82</v>
      </c>
      <c r="B5" s="58" t="str">
        <f>"The value of a stock with these parameters would be "&amp;DOLLAR(B4)&amp;"."</f>
        <v>The value of a stock with these parameters would be $31.25.</v>
      </c>
      <c r="C5" s="59"/>
      <c r="D5" s="59"/>
      <c r="E5" s="59"/>
      <c r="F5" s="59"/>
      <c r="G5" s="59"/>
      <c r="H5" s="60"/>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C19"/>
  <sheetViews>
    <sheetView zoomScale="115" zoomScaleNormal="115" workbookViewId="0">
      <selection activeCell="B6" sqref="B6"/>
    </sheetView>
  </sheetViews>
  <sheetFormatPr defaultRowHeight="14.4" x14ac:dyDescent="0.3"/>
  <cols>
    <col min="1" max="1" width="12.33203125" style="10" customWidth="1"/>
    <col min="2" max="3" width="13.33203125" bestFit="1" customWidth="1"/>
    <col min="257" max="257" width="12.33203125" customWidth="1"/>
    <col min="258" max="259" width="13.33203125" bestFit="1" customWidth="1"/>
    <col min="513" max="513" width="12.33203125" customWidth="1"/>
    <col min="514" max="515" width="13.33203125" bestFit="1" customWidth="1"/>
    <col min="769" max="769" width="12.33203125" customWidth="1"/>
    <col min="770" max="771" width="13.33203125" bestFit="1" customWidth="1"/>
    <col min="1025" max="1025" width="12.33203125" customWidth="1"/>
    <col min="1026" max="1027" width="13.33203125" bestFit="1" customWidth="1"/>
    <col min="1281" max="1281" width="12.33203125" customWidth="1"/>
    <col min="1282" max="1283" width="13.33203125" bestFit="1" customWidth="1"/>
    <col min="1537" max="1537" width="12.33203125" customWidth="1"/>
    <col min="1538" max="1539" width="13.33203125" bestFit="1" customWidth="1"/>
    <col min="1793" max="1793" width="12.33203125" customWidth="1"/>
    <col min="1794" max="1795" width="13.33203125" bestFit="1" customWidth="1"/>
    <col min="2049" max="2049" width="12.33203125" customWidth="1"/>
    <col min="2050" max="2051" width="13.33203125" bestFit="1" customWidth="1"/>
    <col min="2305" max="2305" width="12.33203125" customWidth="1"/>
    <col min="2306" max="2307" width="13.33203125" bestFit="1" customWidth="1"/>
    <col min="2561" max="2561" width="12.33203125" customWidth="1"/>
    <col min="2562" max="2563" width="13.33203125" bestFit="1" customWidth="1"/>
    <col min="2817" max="2817" width="12.33203125" customWidth="1"/>
    <col min="2818" max="2819" width="13.33203125" bestFit="1" customWidth="1"/>
    <col min="3073" max="3073" width="12.33203125" customWidth="1"/>
    <col min="3074" max="3075" width="13.33203125" bestFit="1" customWidth="1"/>
    <col min="3329" max="3329" width="12.33203125" customWidth="1"/>
    <col min="3330" max="3331" width="13.33203125" bestFit="1" customWidth="1"/>
    <col min="3585" max="3585" width="12.33203125" customWidth="1"/>
    <col min="3586" max="3587" width="13.33203125" bestFit="1" customWidth="1"/>
    <col min="3841" max="3841" width="12.33203125" customWidth="1"/>
    <col min="3842" max="3843" width="13.33203125" bestFit="1" customWidth="1"/>
    <col min="4097" max="4097" width="12.33203125" customWidth="1"/>
    <col min="4098" max="4099" width="13.33203125" bestFit="1" customWidth="1"/>
    <col min="4353" max="4353" width="12.33203125" customWidth="1"/>
    <col min="4354" max="4355" width="13.33203125" bestFit="1" customWidth="1"/>
    <col min="4609" max="4609" width="12.33203125" customWidth="1"/>
    <col min="4610" max="4611" width="13.33203125" bestFit="1" customWidth="1"/>
    <col min="4865" max="4865" width="12.33203125" customWidth="1"/>
    <col min="4866" max="4867" width="13.33203125" bestFit="1" customWidth="1"/>
    <col min="5121" max="5121" width="12.33203125" customWidth="1"/>
    <col min="5122" max="5123" width="13.33203125" bestFit="1" customWidth="1"/>
    <col min="5377" max="5377" width="12.33203125" customWidth="1"/>
    <col min="5378" max="5379" width="13.33203125" bestFit="1" customWidth="1"/>
    <col min="5633" max="5633" width="12.33203125" customWidth="1"/>
    <col min="5634" max="5635" width="13.33203125" bestFit="1" customWidth="1"/>
    <col min="5889" max="5889" width="12.33203125" customWidth="1"/>
    <col min="5890" max="5891" width="13.33203125" bestFit="1" customWidth="1"/>
    <col min="6145" max="6145" width="12.33203125" customWidth="1"/>
    <col min="6146" max="6147" width="13.33203125" bestFit="1" customWidth="1"/>
    <col min="6401" max="6401" width="12.33203125" customWidth="1"/>
    <col min="6402" max="6403" width="13.33203125" bestFit="1" customWidth="1"/>
    <col min="6657" max="6657" width="12.33203125" customWidth="1"/>
    <col min="6658" max="6659" width="13.33203125" bestFit="1" customWidth="1"/>
    <col min="6913" max="6913" width="12.33203125" customWidth="1"/>
    <col min="6914" max="6915" width="13.33203125" bestFit="1" customWidth="1"/>
    <col min="7169" max="7169" width="12.33203125" customWidth="1"/>
    <col min="7170" max="7171" width="13.33203125" bestFit="1" customWidth="1"/>
    <col min="7425" max="7425" width="12.33203125" customWidth="1"/>
    <col min="7426" max="7427" width="13.33203125" bestFit="1" customWidth="1"/>
    <col min="7681" max="7681" width="12.33203125" customWidth="1"/>
    <col min="7682" max="7683" width="13.33203125" bestFit="1" customWidth="1"/>
    <col min="7937" max="7937" width="12.33203125" customWidth="1"/>
    <col min="7938" max="7939" width="13.33203125" bestFit="1" customWidth="1"/>
    <col min="8193" max="8193" width="12.33203125" customWidth="1"/>
    <col min="8194" max="8195" width="13.33203125" bestFit="1" customWidth="1"/>
    <col min="8449" max="8449" width="12.33203125" customWidth="1"/>
    <col min="8450" max="8451" width="13.33203125" bestFit="1" customWidth="1"/>
    <col min="8705" max="8705" width="12.33203125" customWidth="1"/>
    <col min="8706" max="8707" width="13.33203125" bestFit="1" customWidth="1"/>
    <col min="8961" max="8961" width="12.33203125" customWidth="1"/>
    <col min="8962" max="8963" width="13.33203125" bestFit="1" customWidth="1"/>
    <col min="9217" max="9217" width="12.33203125" customWidth="1"/>
    <col min="9218" max="9219" width="13.33203125" bestFit="1" customWidth="1"/>
    <col min="9473" max="9473" width="12.33203125" customWidth="1"/>
    <col min="9474" max="9475" width="13.33203125" bestFit="1" customWidth="1"/>
    <col min="9729" max="9729" width="12.33203125" customWidth="1"/>
    <col min="9730" max="9731" width="13.33203125" bestFit="1" customWidth="1"/>
    <col min="9985" max="9985" width="12.33203125" customWidth="1"/>
    <col min="9986" max="9987" width="13.33203125" bestFit="1" customWidth="1"/>
    <col min="10241" max="10241" width="12.33203125" customWidth="1"/>
    <col min="10242" max="10243" width="13.33203125" bestFit="1" customWidth="1"/>
    <col min="10497" max="10497" width="12.33203125" customWidth="1"/>
    <col min="10498" max="10499" width="13.33203125" bestFit="1" customWidth="1"/>
    <col min="10753" max="10753" width="12.33203125" customWidth="1"/>
    <col min="10754" max="10755" width="13.33203125" bestFit="1" customWidth="1"/>
    <col min="11009" max="11009" width="12.33203125" customWidth="1"/>
    <col min="11010" max="11011" width="13.33203125" bestFit="1" customWidth="1"/>
    <col min="11265" max="11265" width="12.33203125" customWidth="1"/>
    <col min="11266" max="11267" width="13.33203125" bestFit="1" customWidth="1"/>
    <col min="11521" max="11521" width="12.33203125" customWidth="1"/>
    <col min="11522" max="11523" width="13.33203125" bestFit="1" customWidth="1"/>
    <col min="11777" max="11777" width="12.33203125" customWidth="1"/>
    <col min="11778" max="11779" width="13.33203125" bestFit="1" customWidth="1"/>
    <col min="12033" max="12033" width="12.33203125" customWidth="1"/>
    <col min="12034" max="12035" width="13.33203125" bestFit="1" customWidth="1"/>
    <col min="12289" max="12289" width="12.33203125" customWidth="1"/>
    <col min="12290" max="12291" width="13.33203125" bestFit="1" customWidth="1"/>
    <col min="12545" max="12545" width="12.33203125" customWidth="1"/>
    <col min="12546" max="12547" width="13.33203125" bestFit="1" customWidth="1"/>
    <col min="12801" max="12801" width="12.33203125" customWidth="1"/>
    <col min="12802" max="12803" width="13.33203125" bestFit="1" customWidth="1"/>
    <col min="13057" max="13057" width="12.33203125" customWidth="1"/>
    <col min="13058" max="13059" width="13.33203125" bestFit="1" customWidth="1"/>
    <col min="13313" max="13313" width="12.33203125" customWidth="1"/>
    <col min="13314" max="13315" width="13.33203125" bestFit="1" customWidth="1"/>
    <col min="13569" max="13569" width="12.33203125" customWidth="1"/>
    <col min="13570" max="13571" width="13.33203125" bestFit="1" customWidth="1"/>
    <col min="13825" max="13825" width="12.33203125" customWidth="1"/>
    <col min="13826" max="13827" width="13.33203125" bestFit="1" customWidth="1"/>
    <col min="14081" max="14081" width="12.33203125" customWidth="1"/>
    <col min="14082" max="14083" width="13.33203125" bestFit="1" customWidth="1"/>
    <col min="14337" max="14337" width="12.33203125" customWidth="1"/>
    <col min="14338" max="14339" width="13.33203125" bestFit="1" customWidth="1"/>
    <col min="14593" max="14593" width="12.33203125" customWidth="1"/>
    <col min="14594" max="14595" width="13.33203125" bestFit="1" customWidth="1"/>
    <col min="14849" max="14849" width="12.33203125" customWidth="1"/>
    <col min="14850" max="14851" width="13.33203125" bestFit="1" customWidth="1"/>
    <col min="15105" max="15105" width="12.33203125" customWidth="1"/>
    <col min="15106" max="15107" width="13.33203125" bestFit="1" customWidth="1"/>
    <col min="15361" max="15361" width="12.33203125" customWidth="1"/>
    <col min="15362" max="15363" width="13.33203125" bestFit="1" customWidth="1"/>
    <col min="15617" max="15617" width="12.33203125" customWidth="1"/>
    <col min="15618" max="15619" width="13.33203125" bestFit="1" customWidth="1"/>
    <col min="15873" max="15873" width="12.33203125" customWidth="1"/>
    <col min="15874" max="15875" width="13.33203125" bestFit="1" customWidth="1"/>
    <col min="16129" max="16129" width="12.33203125" customWidth="1"/>
    <col min="16130" max="16131" width="13.33203125" bestFit="1" customWidth="1"/>
  </cols>
  <sheetData>
    <row r="1" spans="1:3" x14ac:dyDescent="0.3">
      <c r="A1" s="75" t="s">
        <v>129</v>
      </c>
      <c r="B1" s="62"/>
      <c r="C1" s="55"/>
    </row>
    <row r="2" spans="1:3" ht="28.95" x14ac:dyDescent="0.3">
      <c r="A2" s="8" t="s">
        <v>130</v>
      </c>
      <c r="B2" s="64">
        <v>1000000</v>
      </c>
    </row>
    <row r="3" spans="1:3" x14ac:dyDescent="0.3">
      <c r="A3" s="8" t="s">
        <v>131</v>
      </c>
      <c r="B3" s="79">
        <v>0.1</v>
      </c>
    </row>
    <row r="4" spans="1:3" x14ac:dyDescent="0.3">
      <c r="A4" s="8" t="s">
        <v>114</v>
      </c>
      <c r="B4" s="1">
        <v>2</v>
      </c>
    </row>
    <row r="5" spans="1:3" x14ac:dyDescent="0.3">
      <c r="A5" s="8" t="s">
        <v>77</v>
      </c>
      <c r="B5" s="1">
        <v>5</v>
      </c>
    </row>
    <row r="6" spans="1:3" ht="28.95" x14ac:dyDescent="0.3">
      <c r="A6" s="8" t="s">
        <v>132</v>
      </c>
      <c r="B6" s="80"/>
    </row>
    <row r="8" spans="1:3" x14ac:dyDescent="0.3">
      <c r="A8" s="81" t="s">
        <v>25</v>
      </c>
      <c r="B8" s="82" t="s">
        <v>133</v>
      </c>
      <c r="C8" s="82" t="s">
        <v>134</v>
      </c>
    </row>
    <row r="9" spans="1:3" x14ac:dyDescent="0.3">
      <c r="A9" s="8">
        <v>0</v>
      </c>
      <c r="B9" s="1"/>
      <c r="C9" s="1"/>
    </row>
    <row r="10" spans="1:3" x14ac:dyDescent="0.3">
      <c r="A10" s="8">
        <v>1</v>
      </c>
      <c r="B10" s="183"/>
      <c r="C10" s="1"/>
    </row>
    <row r="11" spans="1:3" x14ac:dyDescent="0.3">
      <c r="A11" s="8">
        <v>2</v>
      </c>
      <c r="B11" s="183"/>
      <c r="C11" s="1"/>
    </row>
    <row r="12" spans="1:3" x14ac:dyDescent="0.3">
      <c r="A12" s="8">
        <v>3</v>
      </c>
      <c r="B12" s="183"/>
      <c r="C12" s="1"/>
    </row>
    <row r="13" spans="1:3" x14ac:dyDescent="0.3">
      <c r="A13" s="8">
        <v>4</v>
      </c>
      <c r="B13" s="183"/>
      <c r="C13" s="1"/>
    </row>
    <row r="14" spans="1:3" x14ac:dyDescent="0.3">
      <c r="A14" s="8">
        <v>5</v>
      </c>
      <c r="B14" s="183"/>
      <c r="C14" s="1"/>
    </row>
    <row r="15" spans="1:3" x14ac:dyDescent="0.3">
      <c r="A15" s="8">
        <v>6</v>
      </c>
      <c r="B15" s="183"/>
      <c r="C15" s="1"/>
    </row>
    <row r="16" spans="1:3" x14ac:dyDescent="0.3">
      <c r="A16" s="8">
        <v>7</v>
      </c>
      <c r="B16" s="183"/>
      <c r="C16" s="1"/>
    </row>
    <row r="17" spans="1:3" x14ac:dyDescent="0.3">
      <c r="A17" s="8">
        <v>8</v>
      </c>
      <c r="B17" s="183"/>
      <c r="C17" s="1"/>
    </row>
    <row r="18" spans="1:3" x14ac:dyDescent="0.3">
      <c r="A18" s="8">
        <v>9</v>
      </c>
      <c r="B18" s="183"/>
      <c r="C18" s="1"/>
    </row>
    <row r="19" spans="1:3" x14ac:dyDescent="0.3">
      <c r="A19" s="8">
        <v>10</v>
      </c>
      <c r="B19" s="183"/>
      <c r="C19" s="83">
        <f>B2</f>
        <v>1000000</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9"/>
  <sheetViews>
    <sheetView workbookViewId="0">
      <selection activeCell="B6" sqref="B6"/>
    </sheetView>
  </sheetViews>
  <sheetFormatPr defaultRowHeight="14.4" x14ac:dyDescent="0.3"/>
  <cols>
    <col min="1" max="1" width="12.33203125" style="10" customWidth="1"/>
    <col min="2" max="3" width="13.33203125" bestFit="1" customWidth="1"/>
    <col min="257" max="257" width="12.33203125" customWidth="1"/>
    <col min="258" max="259" width="13.33203125" bestFit="1" customWidth="1"/>
    <col min="513" max="513" width="12.33203125" customWidth="1"/>
    <col min="514" max="515" width="13.33203125" bestFit="1" customWidth="1"/>
    <col min="769" max="769" width="12.33203125" customWidth="1"/>
    <col min="770" max="771" width="13.33203125" bestFit="1" customWidth="1"/>
    <col min="1025" max="1025" width="12.33203125" customWidth="1"/>
    <col min="1026" max="1027" width="13.33203125" bestFit="1" customWidth="1"/>
    <col min="1281" max="1281" width="12.33203125" customWidth="1"/>
    <col min="1282" max="1283" width="13.33203125" bestFit="1" customWidth="1"/>
    <col min="1537" max="1537" width="12.33203125" customWidth="1"/>
    <col min="1538" max="1539" width="13.33203125" bestFit="1" customWidth="1"/>
    <col min="1793" max="1793" width="12.33203125" customWidth="1"/>
    <col min="1794" max="1795" width="13.33203125" bestFit="1" customWidth="1"/>
    <col min="2049" max="2049" width="12.33203125" customWidth="1"/>
    <col min="2050" max="2051" width="13.33203125" bestFit="1" customWidth="1"/>
    <col min="2305" max="2305" width="12.33203125" customWidth="1"/>
    <col min="2306" max="2307" width="13.33203125" bestFit="1" customWidth="1"/>
    <col min="2561" max="2561" width="12.33203125" customWidth="1"/>
    <col min="2562" max="2563" width="13.33203125" bestFit="1" customWidth="1"/>
    <col min="2817" max="2817" width="12.33203125" customWidth="1"/>
    <col min="2818" max="2819" width="13.33203125" bestFit="1" customWidth="1"/>
    <col min="3073" max="3073" width="12.33203125" customWidth="1"/>
    <col min="3074" max="3075" width="13.33203125" bestFit="1" customWidth="1"/>
    <col min="3329" max="3329" width="12.33203125" customWidth="1"/>
    <col min="3330" max="3331" width="13.33203125" bestFit="1" customWidth="1"/>
    <col min="3585" max="3585" width="12.33203125" customWidth="1"/>
    <col min="3586" max="3587" width="13.33203125" bestFit="1" customWidth="1"/>
    <col min="3841" max="3841" width="12.33203125" customWidth="1"/>
    <col min="3842" max="3843" width="13.33203125" bestFit="1" customWidth="1"/>
    <col min="4097" max="4097" width="12.33203125" customWidth="1"/>
    <col min="4098" max="4099" width="13.33203125" bestFit="1" customWidth="1"/>
    <col min="4353" max="4353" width="12.33203125" customWidth="1"/>
    <col min="4354" max="4355" width="13.33203125" bestFit="1" customWidth="1"/>
    <col min="4609" max="4609" width="12.33203125" customWidth="1"/>
    <col min="4610" max="4611" width="13.33203125" bestFit="1" customWidth="1"/>
    <col min="4865" max="4865" width="12.33203125" customWidth="1"/>
    <col min="4866" max="4867" width="13.33203125" bestFit="1" customWidth="1"/>
    <col min="5121" max="5121" width="12.33203125" customWidth="1"/>
    <col min="5122" max="5123" width="13.33203125" bestFit="1" customWidth="1"/>
    <col min="5377" max="5377" width="12.33203125" customWidth="1"/>
    <col min="5378" max="5379" width="13.33203125" bestFit="1" customWidth="1"/>
    <col min="5633" max="5633" width="12.33203125" customWidth="1"/>
    <col min="5634" max="5635" width="13.33203125" bestFit="1" customWidth="1"/>
    <col min="5889" max="5889" width="12.33203125" customWidth="1"/>
    <col min="5890" max="5891" width="13.33203125" bestFit="1" customWidth="1"/>
    <col min="6145" max="6145" width="12.33203125" customWidth="1"/>
    <col min="6146" max="6147" width="13.33203125" bestFit="1" customWidth="1"/>
    <col min="6401" max="6401" width="12.33203125" customWidth="1"/>
    <col min="6402" max="6403" width="13.33203125" bestFit="1" customWidth="1"/>
    <col min="6657" max="6657" width="12.33203125" customWidth="1"/>
    <col min="6658" max="6659" width="13.33203125" bestFit="1" customWidth="1"/>
    <col min="6913" max="6913" width="12.33203125" customWidth="1"/>
    <col min="6914" max="6915" width="13.33203125" bestFit="1" customWidth="1"/>
    <col min="7169" max="7169" width="12.33203125" customWidth="1"/>
    <col min="7170" max="7171" width="13.33203125" bestFit="1" customWidth="1"/>
    <col min="7425" max="7425" width="12.33203125" customWidth="1"/>
    <col min="7426" max="7427" width="13.33203125" bestFit="1" customWidth="1"/>
    <col min="7681" max="7681" width="12.33203125" customWidth="1"/>
    <col min="7682" max="7683" width="13.33203125" bestFit="1" customWidth="1"/>
    <col min="7937" max="7937" width="12.33203125" customWidth="1"/>
    <col min="7938" max="7939" width="13.33203125" bestFit="1" customWidth="1"/>
    <col min="8193" max="8193" width="12.33203125" customWidth="1"/>
    <col min="8194" max="8195" width="13.33203125" bestFit="1" customWidth="1"/>
    <col min="8449" max="8449" width="12.33203125" customWidth="1"/>
    <col min="8450" max="8451" width="13.33203125" bestFit="1" customWidth="1"/>
    <col min="8705" max="8705" width="12.33203125" customWidth="1"/>
    <col min="8706" max="8707" width="13.33203125" bestFit="1" customWidth="1"/>
    <col min="8961" max="8961" width="12.33203125" customWidth="1"/>
    <col min="8962" max="8963" width="13.33203125" bestFit="1" customWidth="1"/>
    <col min="9217" max="9217" width="12.33203125" customWidth="1"/>
    <col min="9218" max="9219" width="13.33203125" bestFit="1" customWidth="1"/>
    <col min="9473" max="9473" width="12.33203125" customWidth="1"/>
    <col min="9474" max="9475" width="13.33203125" bestFit="1" customWidth="1"/>
    <col min="9729" max="9729" width="12.33203125" customWidth="1"/>
    <col min="9730" max="9731" width="13.33203125" bestFit="1" customWidth="1"/>
    <col min="9985" max="9985" width="12.33203125" customWidth="1"/>
    <col min="9986" max="9987" width="13.33203125" bestFit="1" customWidth="1"/>
    <col min="10241" max="10241" width="12.33203125" customWidth="1"/>
    <col min="10242" max="10243" width="13.33203125" bestFit="1" customWidth="1"/>
    <col min="10497" max="10497" width="12.33203125" customWidth="1"/>
    <col min="10498" max="10499" width="13.33203125" bestFit="1" customWidth="1"/>
    <col min="10753" max="10753" width="12.33203125" customWidth="1"/>
    <col min="10754" max="10755" width="13.33203125" bestFit="1" customWidth="1"/>
    <col min="11009" max="11009" width="12.33203125" customWidth="1"/>
    <col min="11010" max="11011" width="13.33203125" bestFit="1" customWidth="1"/>
    <col min="11265" max="11265" width="12.33203125" customWidth="1"/>
    <col min="11266" max="11267" width="13.33203125" bestFit="1" customWidth="1"/>
    <col min="11521" max="11521" width="12.33203125" customWidth="1"/>
    <col min="11522" max="11523" width="13.33203125" bestFit="1" customWidth="1"/>
    <col min="11777" max="11777" width="12.33203125" customWidth="1"/>
    <col min="11778" max="11779" width="13.33203125" bestFit="1" customWidth="1"/>
    <col min="12033" max="12033" width="12.33203125" customWidth="1"/>
    <col min="12034" max="12035" width="13.33203125" bestFit="1" customWidth="1"/>
    <col min="12289" max="12289" width="12.33203125" customWidth="1"/>
    <col min="12290" max="12291" width="13.33203125" bestFit="1" customWidth="1"/>
    <col min="12545" max="12545" width="12.33203125" customWidth="1"/>
    <col min="12546" max="12547" width="13.33203125" bestFit="1" customWidth="1"/>
    <col min="12801" max="12801" width="12.33203125" customWidth="1"/>
    <col min="12802" max="12803" width="13.33203125" bestFit="1" customWidth="1"/>
    <col min="13057" max="13057" width="12.33203125" customWidth="1"/>
    <col min="13058" max="13059" width="13.33203125" bestFit="1" customWidth="1"/>
    <col min="13313" max="13313" width="12.33203125" customWidth="1"/>
    <col min="13314" max="13315" width="13.33203125" bestFit="1" customWidth="1"/>
    <col min="13569" max="13569" width="12.33203125" customWidth="1"/>
    <col min="13570" max="13571" width="13.33203125" bestFit="1" customWidth="1"/>
    <col min="13825" max="13825" width="12.33203125" customWidth="1"/>
    <col min="13826" max="13827" width="13.33203125" bestFit="1" customWidth="1"/>
    <col min="14081" max="14081" width="12.33203125" customWidth="1"/>
    <col min="14082" max="14083" width="13.33203125" bestFit="1" customWidth="1"/>
    <col min="14337" max="14337" width="12.33203125" customWidth="1"/>
    <col min="14338" max="14339" width="13.33203125" bestFit="1" customWidth="1"/>
    <col min="14593" max="14593" width="12.33203125" customWidth="1"/>
    <col min="14594" max="14595" width="13.33203125" bestFit="1" customWidth="1"/>
    <col min="14849" max="14849" width="12.33203125" customWidth="1"/>
    <col min="14850" max="14851" width="13.33203125" bestFit="1" customWidth="1"/>
    <col min="15105" max="15105" width="12.33203125" customWidth="1"/>
    <col min="15106" max="15107" width="13.33203125" bestFit="1" customWidth="1"/>
    <col min="15361" max="15361" width="12.33203125" customWidth="1"/>
    <col min="15362" max="15363" width="13.33203125" bestFit="1" customWidth="1"/>
    <col min="15617" max="15617" width="12.33203125" customWidth="1"/>
    <col min="15618" max="15619" width="13.33203125" bestFit="1" customWidth="1"/>
    <col min="15873" max="15873" width="12.33203125" customWidth="1"/>
    <col min="15874" max="15875" width="13.33203125" bestFit="1" customWidth="1"/>
    <col min="16129" max="16129" width="12.33203125" customWidth="1"/>
    <col min="16130" max="16131" width="13.33203125" bestFit="1" customWidth="1"/>
  </cols>
  <sheetData>
    <row r="1" spans="1:3" x14ac:dyDescent="0.3">
      <c r="A1" s="75" t="s">
        <v>129</v>
      </c>
      <c r="B1" s="62"/>
      <c r="C1" s="55"/>
    </row>
    <row r="2" spans="1:3" ht="28.8" x14ac:dyDescent="0.3">
      <c r="A2" s="8" t="s">
        <v>130</v>
      </c>
      <c r="B2" s="64">
        <v>1000000</v>
      </c>
    </row>
    <row r="3" spans="1:3" x14ac:dyDescent="0.3">
      <c r="A3" s="8" t="s">
        <v>131</v>
      </c>
      <c r="B3" s="79">
        <v>0.1</v>
      </c>
    </row>
    <row r="4" spans="1:3" x14ac:dyDescent="0.3">
      <c r="A4" s="8" t="s">
        <v>114</v>
      </c>
      <c r="B4" s="1">
        <v>2</v>
      </c>
    </row>
    <row r="5" spans="1:3" x14ac:dyDescent="0.3">
      <c r="A5" s="8" t="s">
        <v>77</v>
      </c>
      <c r="B5" s="1">
        <v>5</v>
      </c>
    </row>
    <row r="6" spans="1:3" ht="28.8" x14ac:dyDescent="0.3">
      <c r="A6" s="8" t="s">
        <v>132</v>
      </c>
      <c r="B6" s="80">
        <f>B2*B3/B4</f>
        <v>50000</v>
      </c>
    </row>
    <row r="8" spans="1:3" x14ac:dyDescent="0.3">
      <c r="A8" s="81" t="s">
        <v>25</v>
      </c>
      <c r="B8" s="82" t="s">
        <v>133</v>
      </c>
      <c r="C8" s="82" t="s">
        <v>134</v>
      </c>
    </row>
    <row r="9" spans="1:3" x14ac:dyDescent="0.3">
      <c r="A9" s="8">
        <v>0</v>
      </c>
      <c r="B9" s="1"/>
      <c r="C9" s="1"/>
    </row>
    <row r="10" spans="1:3" x14ac:dyDescent="0.3">
      <c r="A10" s="8">
        <v>1</v>
      </c>
      <c r="B10" s="183">
        <f>$B$6</f>
        <v>50000</v>
      </c>
      <c r="C10" s="1"/>
    </row>
    <row r="11" spans="1:3" x14ac:dyDescent="0.3">
      <c r="A11" s="8">
        <v>2</v>
      </c>
      <c r="B11" s="183">
        <f t="shared" ref="B11:B19" si="0">$B$6</f>
        <v>50000</v>
      </c>
      <c r="C11" s="1"/>
    </row>
    <row r="12" spans="1:3" x14ac:dyDescent="0.3">
      <c r="A12" s="8">
        <v>3</v>
      </c>
      <c r="B12" s="183">
        <f t="shared" si="0"/>
        <v>50000</v>
      </c>
      <c r="C12" s="1"/>
    </row>
    <row r="13" spans="1:3" x14ac:dyDescent="0.3">
      <c r="A13" s="8">
        <v>4</v>
      </c>
      <c r="B13" s="183">
        <f t="shared" si="0"/>
        <v>50000</v>
      </c>
      <c r="C13" s="1"/>
    </row>
    <row r="14" spans="1:3" x14ac:dyDescent="0.3">
      <c r="A14" s="8">
        <v>5</v>
      </c>
      <c r="B14" s="183">
        <f t="shared" si="0"/>
        <v>50000</v>
      </c>
      <c r="C14" s="1"/>
    </row>
    <row r="15" spans="1:3" x14ac:dyDescent="0.3">
      <c r="A15" s="8">
        <v>6</v>
      </c>
      <c r="B15" s="183">
        <f t="shared" si="0"/>
        <v>50000</v>
      </c>
      <c r="C15" s="1"/>
    </row>
    <row r="16" spans="1:3" x14ac:dyDescent="0.3">
      <c r="A16" s="8">
        <v>7</v>
      </c>
      <c r="B16" s="183">
        <f t="shared" si="0"/>
        <v>50000</v>
      </c>
      <c r="C16" s="1"/>
    </row>
    <row r="17" spans="1:3" x14ac:dyDescent="0.3">
      <c r="A17" s="8">
        <v>8</v>
      </c>
      <c r="B17" s="183">
        <f t="shared" si="0"/>
        <v>50000</v>
      </c>
      <c r="C17" s="1"/>
    </row>
    <row r="18" spans="1:3" x14ac:dyDescent="0.3">
      <c r="A18" s="8">
        <v>9</v>
      </c>
      <c r="B18" s="183">
        <f t="shared" si="0"/>
        <v>50000</v>
      </c>
      <c r="C18" s="1"/>
    </row>
    <row r="19" spans="1:3" x14ac:dyDescent="0.3">
      <c r="A19" s="8">
        <v>10</v>
      </c>
      <c r="B19" s="183">
        <f t="shared" si="0"/>
        <v>50000</v>
      </c>
      <c r="C19" s="83">
        <f>B2</f>
        <v>1000000</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7"/>
  <sheetViews>
    <sheetView zoomScale="145" zoomScaleNormal="145" workbookViewId="0">
      <selection activeCell="B7" sqref="B7"/>
    </sheetView>
  </sheetViews>
  <sheetFormatPr defaultColWidth="22.88671875" defaultRowHeight="14.4" x14ac:dyDescent="0.3"/>
  <cols>
    <col min="1" max="1" width="15.77734375" customWidth="1"/>
    <col min="2" max="2" width="12.6640625" bestFit="1" customWidth="1"/>
    <col min="3" max="3" width="11.44140625" customWidth="1"/>
    <col min="4" max="4" width="11.77734375" bestFit="1" customWidth="1"/>
    <col min="5" max="5" width="14.5546875" bestFit="1" customWidth="1"/>
    <col min="6" max="6" width="16.6640625" bestFit="1" customWidth="1"/>
    <col min="7" max="7" width="18.44140625" bestFit="1" customWidth="1"/>
    <col min="257" max="257" width="22.6640625" bestFit="1" customWidth="1"/>
    <col min="258" max="258" width="12.6640625" bestFit="1" customWidth="1"/>
    <col min="259" max="259" width="7.33203125" bestFit="1" customWidth="1"/>
    <col min="260" max="260" width="10.6640625" bestFit="1" customWidth="1"/>
    <col min="261" max="261" width="14.5546875" bestFit="1" customWidth="1"/>
    <col min="262" max="262" width="16.6640625" bestFit="1" customWidth="1"/>
    <col min="263" max="263" width="18.44140625" bestFit="1" customWidth="1"/>
    <col min="513" max="513" width="22.6640625" bestFit="1" customWidth="1"/>
    <col min="514" max="514" width="12.6640625" bestFit="1" customWidth="1"/>
    <col min="515" max="515" width="7.33203125" bestFit="1" customWidth="1"/>
    <col min="516" max="516" width="10.6640625" bestFit="1" customWidth="1"/>
    <col min="517" max="517" width="14.5546875" bestFit="1" customWidth="1"/>
    <col min="518" max="518" width="16.6640625" bestFit="1" customWidth="1"/>
    <col min="519" max="519" width="18.44140625" bestFit="1" customWidth="1"/>
    <col min="769" max="769" width="22.6640625" bestFit="1" customWidth="1"/>
    <col min="770" max="770" width="12.6640625" bestFit="1" customWidth="1"/>
    <col min="771" max="771" width="7.33203125" bestFit="1" customWidth="1"/>
    <col min="772" max="772" width="10.6640625" bestFit="1" customWidth="1"/>
    <col min="773" max="773" width="14.5546875" bestFit="1" customWidth="1"/>
    <col min="774" max="774" width="16.6640625" bestFit="1" customWidth="1"/>
    <col min="775" max="775" width="18.44140625" bestFit="1" customWidth="1"/>
    <col min="1025" max="1025" width="22.6640625" bestFit="1" customWidth="1"/>
    <col min="1026" max="1026" width="12.6640625" bestFit="1" customWidth="1"/>
    <col min="1027" max="1027" width="7.33203125" bestFit="1" customWidth="1"/>
    <col min="1028" max="1028" width="10.6640625" bestFit="1" customWidth="1"/>
    <col min="1029" max="1029" width="14.5546875" bestFit="1" customWidth="1"/>
    <col min="1030" max="1030" width="16.6640625" bestFit="1" customWidth="1"/>
    <col min="1031" max="1031" width="18.44140625" bestFit="1" customWidth="1"/>
    <col min="1281" max="1281" width="22.6640625" bestFit="1" customWidth="1"/>
    <col min="1282" max="1282" width="12.6640625" bestFit="1" customWidth="1"/>
    <col min="1283" max="1283" width="7.33203125" bestFit="1" customWidth="1"/>
    <col min="1284" max="1284" width="10.6640625" bestFit="1" customWidth="1"/>
    <col min="1285" max="1285" width="14.5546875" bestFit="1" customWidth="1"/>
    <col min="1286" max="1286" width="16.6640625" bestFit="1" customWidth="1"/>
    <col min="1287" max="1287" width="18.44140625" bestFit="1" customWidth="1"/>
    <col min="1537" max="1537" width="22.6640625" bestFit="1" customWidth="1"/>
    <col min="1538" max="1538" width="12.6640625" bestFit="1" customWidth="1"/>
    <col min="1539" max="1539" width="7.33203125" bestFit="1" customWidth="1"/>
    <col min="1540" max="1540" width="10.6640625" bestFit="1" customWidth="1"/>
    <col min="1541" max="1541" width="14.5546875" bestFit="1" customWidth="1"/>
    <col min="1542" max="1542" width="16.6640625" bestFit="1" customWidth="1"/>
    <col min="1543" max="1543" width="18.44140625" bestFit="1" customWidth="1"/>
    <col min="1793" max="1793" width="22.6640625" bestFit="1" customWidth="1"/>
    <col min="1794" max="1794" width="12.6640625" bestFit="1" customWidth="1"/>
    <col min="1795" max="1795" width="7.33203125" bestFit="1" customWidth="1"/>
    <col min="1796" max="1796" width="10.6640625" bestFit="1" customWidth="1"/>
    <col min="1797" max="1797" width="14.5546875" bestFit="1" customWidth="1"/>
    <col min="1798" max="1798" width="16.6640625" bestFit="1" customWidth="1"/>
    <col min="1799" max="1799" width="18.44140625" bestFit="1" customWidth="1"/>
    <col min="2049" max="2049" width="22.6640625" bestFit="1" customWidth="1"/>
    <col min="2050" max="2050" width="12.6640625" bestFit="1" customWidth="1"/>
    <col min="2051" max="2051" width="7.33203125" bestFit="1" customWidth="1"/>
    <col min="2052" max="2052" width="10.6640625" bestFit="1" customWidth="1"/>
    <col min="2053" max="2053" width="14.5546875" bestFit="1" customWidth="1"/>
    <col min="2054" max="2054" width="16.6640625" bestFit="1" customWidth="1"/>
    <col min="2055" max="2055" width="18.44140625" bestFit="1" customWidth="1"/>
    <col min="2305" max="2305" width="22.6640625" bestFit="1" customWidth="1"/>
    <col min="2306" max="2306" width="12.6640625" bestFit="1" customWidth="1"/>
    <col min="2307" max="2307" width="7.33203125" bestFit="1" customWidth="1"/>
    <col min="2308" max="2308" width="10.6640625" bestFit="1" customWidth="1"/>
    <col min="2309" max="2309" width="14.5546875" bestFit="1" customWidth="1"/>
    <col min="2310" max="2310" width="16.6640625" bestFit="1" customWidth="1"/>
    <col min="2311" max="2311" width="18.44140625" bestFit="1" customWidth="1"/>
    <col min="2561" max="2561" width="22.6640625" bestFit="1" customWidth="1"/>
    <col min="2562" max="2562" width="12.6640625" bestFit="1" customWidth="1"/>
    <col min="2563" max="2563" width="7.33203125" bestFit="1" customWidth="1"/>
    <col min="2564" max="2564" width="10.6640625" bestFit="1" customWidth="1"/>
    <col min="2565" max="2565" width="14.5546875" bestFit="1" customWidth="1"/>
    <col min="2566" max="2566" width="16.6640625" bestFit="1" customWidth="1"/>
    <col min="2567" max="2567" width="18.44140625" bestFit="1" customWidth="1"/>
    <col min="2817" max="2817" width="22.6640625" bestFit="1" customWidth="1"/>
    <col min="2818" max="2818" width="12.6640625" bestFit="1" customWidth="1"/>
    <col min="2819" max="2819" width="7.33203125" bestFit="1" customWidth="1"/>
    <col min="2820" max="2820" width="10.6640625" bestFit="1" customWidth="1"/>
    <col min="2821" max="2821" width="14.5546875" bestFit="1" customWidth="1"/>
    <col min="2822" max="2822" width="16.6640625" bestFit="1" customWidth="1"/>
    <col min="2823" max="2823" width="18.44140625" bestFit="1" customWidth="1"/>
    <col min="3073" max="3073" width="22.6640625" bestFit="1" customWidth="1"/>
    <col min="3074" max="3074" width="12.6640625" bestFit="1" customWidth="1"/>
    <col min="3075" max="3075" width="7.33203125" bestFit="1" customWidth="1"/>
    <col min="3076" max="3076" width="10.6640625" bestFit="1" customWidth="1"/>
    <col min="3077" max="3077" width="14.5546875" bestFit="1" customWidth="1"/>
    <col min="3078" max="3078" width="16.6640625" bestFit="1" customWidth="1"/>
    <col min="3079" max="3079" width="18.44140625" bestFit="1" customWidth="1"/>
    <col min="3329" max="3329" width="22.6640625" bestFit="1" customWidth="1"/>
    <col min="3330" max="3330" width="12.6640625" bestFit="1" customWidth="1"/>
    <col min="3331" max="3331" width="7.33203125" bestFit="1" customWidth="1"/>
    <col min="3332" max="3332" width="10.6640625" bestFit="1" customWidth="1"/>
    <col min="3333" max="3333" width="14.5546875" bestFit="1" customWidth="1"/>
    <col min="3334" max="3334" width="16.6640625" bestFit="1" customWidth="1"/>
    <col min="3335" max="3335" width="18.44140625" bestFit="1" customWidth="1"/>
    <col min="3585" max="3585" width="22.6640625" bestFit="1" customWidth="1"/>
    <col min="3586" max="3586" width="12.6640625" bestFit="1" customWidth="1"/>
    <col min="3587" max="3587" width="7.33203125" bestFit="1" customWidth="1"/>
    <col min="3588" max="3588" width="10.6640625" bestFit="1" customWidth="1"/>
    <col min="3589" max="3589" width="14.5546875" bestFit="1" customWidth="1"/>
    <col min="3590" max="3590" width="16.6640625" bestFit="1" customWidth="1"/>
    <col min="3591" max="3591" width="18.44140625" bestFit="1" customWidth="1"/>
    <col min="3841" max="3841" width="22.6640625" bestFit="1" customWidth="1"/>
    <col min="3842" max="3842" width="12.6640625" bestFit="1" customWidth="1"/>
    <col min="3843" max="3843" width="7.33203125" bestFit="1" customWidth="1"/>
    <col min="3844" max="3844" width="10.6640625" bestFit="1" customWidth="1"/>
    <col min="3845" max="3845" width="14.5546875" bestFit="1" customWidth="1"/>
    <col min="3846" max="3846" width="16.6640625" bestFit="1" customWidth="1"/>
    <col min="3847" max="3847" width="18.44140625" bestFit="1" customWidth="1"/>
    <col min="4097" max="4097" width="22.6640625" bestFit="1" customWidth="1"/>
    <col min="4098" max="4098" width="12.6640625" bestFit="1" customWidth="1"/>
    <col min="4099" max="4099" width="7.33203125" bestFit="1" customWidth="1"/>
    <col min="4100" max="4100" width="10.6640625" bestFit="1" customWidth="1"/>
    <col min="4101" max="4101" width="14.5546875" bestFit="1" customWidth="1"/>
    <col min="4102" max="4102" width="16.6640625" bestFit="1" customWidth="1"/>
    <col min="4103" max="4103" width="18.44140625" bestFit="1" customWidth="1"/>
    <col min="4353" max="4353" width="22.6640625" bestFit="1" customWidth="1"/>
    <col min="4354" max="4354" width="12.6640625" bestFit="1" customWidth="1"/>
    <col min="4355" max="4355" width="7.33203125" bestFit="1" customWidth="1"/>
    <col min="4356" max="4356" width="10.6640625" bestFit="1" customWidth="1"/>
    <col min="4357" max="4357" width="14.5546875" bestFit="1" customWidth="1"/>
    <col min="4358" max="4358" width="16.6640625" bestFit="1" customWidth="1"/>
    <col min="4359" max="4359" width="18.44140625" bestFit="1" customWidth="1"/>
    <col min="4609" max="4609" width="22.6640625" bestFit="1" customWidth="1"/>
    <col min="4610" max="4610" width="12.6640625" bestFit="1" customWidth="1"/>
    <col min="4611" max="4611" width="7.33203125" bestFit="1" customWidth="1"/>
    <col min="4612" max="4612" width="10.6640625" bestFit="1" customWidth="1"/>
    <col min="4613" max="4613" width="14.5546875" bestFit="1" customWidth="1"/>
    <col min="4614" max="4614" width="16.6640625" bestFit="1" customWidth="1"/>
    <col min="4615" max="4615" width="18.44140625" bestFit="1" customWidth="1"/>
    <col min="4865" max="4865" width="22.6640625" bestFit="1" customWidth="1"/>
    <col min="4866" max="4866" width="12.6640625" bestFit="1" customWidth="1"/>
    <col min="4867" max="4867" width="7.33203125" bestFit="1" customWidth="1"/>
    <col min="4868" max="4868" width="10.6640625" bestFit="1" customWidth="1"/>
    <col min="4869" max="4869" width="14.5546875" bestFit="1" customWidth="1"/>
    <col min="4870" max="4870" width="16.6640625" bestFit="1" customWidth="1"/>
    <col min="4871" max="4871" width="18.44140625" bestFit="1" customWidth="1"/>
    <col min="5121" max="5121" width="22.6640625" bestFit="1" customWidth="1"/>
    <col min="5122" max="5122" width="12.6640625" bestFit="1" customWidth="1"/>
    <col min="5123" max="5123" width="7.33203125" bestFit="1" customWidth="1"/>
    <col min="5124" max="5124" width="10.6640625" bestFit="1" customWidth="1"/>
    <col min="5125" max="5125" width="14.5546875" bestFit="1" customWidth="1"/>
    <col min="5126" max="5126" width="16.6640625" bestFit="1" customWidth="1"/>
    <col min="5127" max="5127" width="18.44140625" bestFit="1" customWidth="1"/>
    <col min="5377" max="5377" width="22.6640625" bestFit="1" customWidth="1"/>
    <col min="5378" max="5378" width="12.6640625" bestFit="1" customWidth="1"/>
    <col min="5379" max="5379" width="7.33203125" bestFit="1" customWidth="1"/>
    <col min="5380" max="5380" width="10.6640625" bestFit="1" customWidth="1"/>
    <col min="5381" max="5381" width="14.5546875" bestFit="1" customWidth="1"/>
    <col min="5382" max="5382" width="16.6640625" bestFit="1" customWidth="1"/>
    <col min="5383" max="5383" width="18.44140625" bestFit="1" customWidth="1"/>
    <col min="5633" max="5633" width="22.6640625" bestFit="1" customWidth="1"/>
    <col min="5634" max="5634" width="12.6640625" bestFit="1" customWidth="1"/>
    <col min="5635" max="5635" width="7.33203125" bestFit="1" customWidth="1"/>
    <col min="5636" max="5636" width="10.6640625" bestFit="1" customWidth="1"/>
    <col min="5637" max="5637" width="14.5546875" bestFit="1" customWidth="1"/>
    <col min="5638" max="5638" width="16.6640625" bestFit="1" customWidth="1"/>
    <col min="5639" max="5639" width="18.44140625" bestFit="1" customWidth="1"/>
    <col min="5889" max="5889" width="22.6640625" bestFit="1" customWidth="1"/>
    <col min="5890" max="5890" width="12.6640625" bestFit="1" customWidth="1"/>
    <col min="5891" max="5891" width="7.33203125" bestFit="1" customWidth="1"/>
    <col min="5892" max="5892" width="10.6640625" bestFit="1" customWidth="1"/>
    <col min="5893" max="5893" width="14.5546875" bestFit="1" customWidth="1"/>
    <col min="5894" max="5894" width="16.6640625" bestFit="1" customWidth="1"/>
    <col min="5895" max="5895" width="18.44140625" bestFit="1" customWidth="1"/>
    <col min="6145" max="6145" width="22.6640625" bestFit="1" customWidth="1"/>
    <col min="6146" max="6146" width="12.6640625" bestFit="1" customWidth="1"/>
    <col min="6147" max="6147" width="7.33203125" bestFit="1" customWidth="1"/>
    <col min="6148" max="6148" width="10.6640625" bestFit="1" customWidth="1"/>
    <col min="6149" max="6149" width="14.5546875" bestFit="1" customWidth="1"/>
    <col min="6150" max="6150" width="16.6640625" bestFit="1" customWidth="1"/>
    <col min="6151" max="6151" width="18.44140625" bestFit="1" customWidth="1"/>
    <col min="6401" max="6401" width="22.6640625" bestFit="1" customWidth="1"/>
    <col min="6402" max="6402" width="12.6640625" bestFit="1" customWidth="1"/>
    <col min="6403" max="6403" width="7.33203125" bestFit="1" customWidth="1"/>
    <col min="6404" max="6404" width="10.6640625" bestFit="1" customWidth="1"/>
    <col min="6405" max="6405" width="14.5546875" bestFit="1" customWidth="1"/>
    <col min="6406" max="6406" width="16.6640625" bestFit="1" customWidth="1"/>
    <col min="6407" max="6407" width="18.44140625" bestFit="1" customWidth="1"/>
    <col min="6657" max="6657" width="22.6640625" bestFit="1" customWidth="1"/>
    <col min="6658" max="6658" width="12.6640625" bestFit="1" customWidth="1"/>
    <col min="6659" max="6659" width="7.33203125" bestFit="1" customWidth="1"/>
    <col min="6660" max="6660" width="10.6640625" bestFit="1" customWidth="1"/>
    <col min="6661" max="6661" width="14.5546875" bestFit="1" customWidth="1"/>
    <col min="6662" max="6662" width="16.6640625" bestFit="1" customWidth="1"/>
    <col min="6663" max="6663" width="18.44140625" bestFit="1" customWidth="1"/>
    <col min="6913" max="6913" width="22.6640625" bestFit="1" customWidth="1"/>
    <col min="6914" max="6914" width="12.6640625" bestFit="1" customWidth="1"/>
    <col min="6915" max="6915" width="7.33203125" bestFit="1" customWidth="1"/>
    <col min="6916" max="6916" width="10.6640625" bestFit="1" customWidth="1"/>
    <col min="6917" max="6917" width="14.5546875" bestFit="1" customWidth="1"/>
    <col min="6918" max="6918" width="16.6640625" bestFit="1" customWidth="1"/>
    <col min="6919" max="6919" width="18.44140625" bestFit="1" customWidth="1"/>
    <col min="7169" max="7169" width="22.6640625" bestFit="1" customWidth="1"/>
    <col min="7170" max="7170" width="12.6640625" bestFit="1" customWidth="1"/>
    <col min="7171" max="7171" width="7.33203125" bestFit="1" customWidth="1"/>
    <col min="7172" max="7172" width="10.6640625" bestFit="1" customWidth="1"/>
    <col min="7173" max="7173" width="14.5546875" bestFit="1" customWidth="1"/>
    <col min="7174" max="7174" width="16.6640625" bestFit="1" customWidth="1"/>
    <col min="7175" max="7175" width="18.44140625" bestFit="1" customWidth="1"/>
    <col min="7425" max="7425" width="22.6640625" bestFit="1" customWidth="1"/>
    <col min="7426" max="7426" width="12.6640625" bestFit="1" customWidth="1"/>
    <col min="7427" max="7427" width="7.33203125" bestFit="1" customWidth="1"/>
    <col min="7428" max="7428" width="10.6640625" bestFit="1" customWidth="1"/>
    <col min="7429" max="7429" width="14.5546875" bestFit="1" customWidth="1"/>
    <col min="7430" max="7430" width="16.6640625" bestFit="1" customWidth="1"/>
    <col min="7431" max="7431" width="18.44140625" bestFit="1" customWidth="1"/>
    <col min="7681" max="7681" width="22.6640625" bestFit="1" customWidth="1"/>
    <col min="7682" max="7682" width="12.6640625" bestFit="1" customWidth="1"/>
    <col min="7683" max="7683" width="7.33203125" bestFit="1" customWidth="1"/>
    <col min="7684" max="7684" width="10.6640625" bestFit="1" customWidth="1"/>
    <col min="7685" max="7685" width="14.5546875" bestFit="1" customWidth="1"/>
    <col min="7686" max="7686" width="16.6640625" bestFit="1" customWidth="1"/>
    <col min="7687" max="7687" width="18.44140625" bestFit="1" customWidth="1"/>
    <col min="7937" max="7937" width="22.6640625" bestFit="1" customWidth="1"/>
    <col min="7938" max="7938" width="12.6640625" bestFit="1" customWidth="1"/>
    <col min="7939" max="7939" width="7.33203125" bestFit="1" customWidth="1"/>
    <col min="7940" max="7940" width="10.6640625" bestFit="1" customWidth="1"/>
    <col min="7941" max="7941" width="14.5546875" bestFit="1" customWidth="1"/>
    <col min="7942" max="7942" width="16.6640625" bestFit="1" customWidth="1"/>
    <col min="7943" max="7943" width="18.44140625" bestFit="1" customWidth="1"/>
    <col min="8193" max="8193" width="22.6640625" bestFit="1" customWidth="1"/>
    <col min="8194" max="8194" width="12.6640625" bestFit="1" customWidth="1"/>
    <col min="8195" max="8195" width="7.33203125" bestFit="1" customWidth="1"/>
    <col min="8196" max="8196" width="10.6640625" bestFit="1" customWidth="1"/>
    <col min="8197" max="8197" width="14.5546875" bestFit="1" customWidth="1"/>
    <col min="8198" max="8198" width="16.6640625" bestFit="1" customWidth="1"/>
    <col min="8199" max="8199" width="18.44140625" bestFit="1" customWidth="1"/>
    <col min="8449" max="8449" width="22.6640625" bestFit="1" customWidth="1"/>
    <col min="8450" max="8450" width="12.6640625" bestFit="1" customWidth="1"/>
    <col min="8451" max="8451" width="7.33203125" bestFit="1" customWidth="1"/>
    <col min="8452" max="8452" width="10.6640625" bestFit="1" customWidth="1"/>
    <col min="8453" max="8453" width="14.5546875" bestFit="1" customWidth="1"/>
    <col min="8454" max="8454" width="16.6640625" bestFit="1" customWidth="1"/>
    <col min="8455" max="8455" width="18.44140625" bestFit="1" customWidth="1"/>
    <col min="8705" max="8705" width="22.6640625" bestFit="1" customWidth="1"/>
    <col min="8706" max="8706" width="12.6640625" bestFit="1" customWidth="1"/>
    <col min="8707" max="8707" width="7.33203125" bestFit="1" customWidth="1"/>
    <col min="8708" max="8708" width="10.6640625" bestFit="1" customWidth="1"/>
    <col min="8709" max="8709" width="14.5546875" bestFit="1" customWidth="1"/>
    <col min="8710" max="8710" width="16.6640625" bestFit="1" customWidth="1"/>
    <col min="8711" max="8711" width="18.44140625" bestFit="1" customWidth="1"/>
    <col min="8961" max="8961" width="22.6640625" bestFit="1" customWidth="1"/>
    <col min="8962" max="8962" width="12.6640625" bestFit="1" customWidth="1"/>
    <col min="8963" max="8963" width="7.33203125" bestFit="1" customWidth="1"/>
    <col min="8964" max="8964" width="10.6640625" bestFit="1" customWidth="1"/>
    <col min="8965" max="8965" width="14.5546875" bestFit="1" customWidth="1"/>
    <col min="8966" max="8966" width="16.6640625" bestFit="1" customWidth="1"/>
    <col min="8967" max="8967" width="18.44140625" bestFit="1" customWidth="1"/>
    <col min="9217" max="9217" width="22.6640625" bestFit="1" customWidth="1"/>
    <col min="9218" max="9218" width="12.6640625" bestFit="1" customWidth="1"/>
    <col min="9219" max="9219" width="7.33203125" bestFit="1" customWidth="1"/>
    <col min="9220" max="9220" width="10.6640625" bestFit="1" customWidth="1"/>
    <col min="9221" max="9221" width="14.5546875" bestFit="1" customWidth="1"/>
    <col min="9222" max="9222" width="16.6640625" bestFit="1" customWidth="1"/>
    <col min="9223" max="9223" width="18.44140625" bestFit="1" customWidth="1"/>
    <col min="9473" max="9473" width="22.6640625" bestFit="1" customWidth="1"/>
    <col min="9474" max="9474" width="12.6640625" bestFit="1" customWidth="1"/>
    <col min="9475" max="9475" width="7.33203125" bestFit="1" customWidth="1"/>
    <col min="9476" max="9476" width="10.6640625" bestFit="1" customWidth="1"/>
    <col min="9477" max="9477" width="14.5546875" bestFit="1" customWidth="1"/>
    <col min="9478" max="9478" width="16.6640625" bestFit="1" customWidth="1"/>
    <col min="9479" max="9479" width="18.44140625" bestFit="1" customWidth="1"/>
    <col min="9729" max="9729" width="22.6640625" bestFit="1" customWidth="1"/>
    <col min="9730" max="9730" width="12.6640625" bestFit="1" customWidth="1"/>
    <col min="9731" max="9731" width="7.33203125" bestFit="1" customWidth="1"/>
    <col min="9732" max="9732" width="10.6640625" bestFit="1" customWidth="1"/>
    <col min="9733" max="9733" width="14.5546875" bestFit="1" customWidth="1"/>
    <col min="9734" max="9734" width="16.6640625" bestFit="1" customWidth="1"/>
    <col min="9735" max="9735" width="18.44140625" bestFit="1" customWidth="1"/>
    <col min="9985" max="9985" width="22.6640625" bestFit="1" customWidth="1"/>
    <col min="9986" max="9986" width="12.6640625" bestFit="1" customWidth="1"/>
    <col min="9987" max="9987" width="7.33203125" bestFit="1" customWidth="1"/>
    <col min="9988" max="9988" width="10.6640625" bestFit="1" customWidth="1"/>
    <col min="9989" max="9989" width="14.5546875" bestFit="1" customWidth="1"/>
    <col min="9990" max="9990" width="16.6640625" bestFit="1" customWidth="1"/>
    <col min="9991" max="9991" width="18.44140625" bestFit="1" customWidth="1"/>
    <col min="10241" max="10241" width="22.6640625" bestFit="1" customWidth="1"/>
    <col min="10242" max="10242" width="12.6640625" bestFit="1" customWidth="1"/>
    <col min="10243" max="10243" width="7.33203125" bestFit="1" customWidth="1"/>
    <col min="10244" max="10244" width="10.6640625" bestFit="1" customWidth="1"/>
    <col min="10245" max="10245" width="14.5546875" bestFit="1" customWidth="1"/>
    <col min="10246" max="10246" width="16.6640625" bestFit="1" customWidth="1"/>
    <col min="10247" max="10247" width="18.44140625" bestFit="1" customWidth="1"/>
    <col min="10497" max="10497" width="22.6640625" bestFit="1" customWidth="1"/>
    <col min="10498" max="10498" width="12.6640625" bestFit="1" customWidth="1"/>
    <col min="10499" max="10499" width="7.33203125" bestFit="1" customWidth="1"/>
    <col min="10500" max="10500" width="10.6640625" bestFit="1" customWidth="1"/>
    <col min="10501" max="10501" width="14.5546875" bestFit="1" customWidth="1"/>
    <col min="10502" max="10502" width="16.6640625" bestFit="1" customWidth="1"/>
    <col min="10503" max="10503" width="18.44140625" bestFit="1" customWidth="1"/>
    <col min="10753" max="10753" width="22.6640625" bestFit="1" customWidth="1"/>
    <col min="10754" max="10754" width="12.6640625" bestFit="1" customWidth="1"/>
    <col min="10755" max="10755" width="7.33203125" bestFit="1" customWidth="1"/>
    <col min="10756" max="10756" width="10.6640625" bestFit="1" customWidth="1"/>
    <col min="10757" max="10757" width="14.5546875" bestFit="1" customWidth="1"/>
    <col min="10758" max="10758" width="16.6640625" bestFit="1" customWidth="1"/>
    <col min="10759" max="10759" width="18.44140625" bestFit="1" customWidth="1"/>
    <col min="11009" max="11009" width="22.6640625" bestFit="1" customWidth="1"/>
    <col min="11010" max="11010" width="12.6640625" bestFit="1" customWidth="1"/>
    <col min="11011" max="11011" width="7.33203125" bestFit="1" customWidth="1"/>
    <col min="11012" max="11012" width="10.6640625" bestFit="1" customWidth="1"/>
    <col min="11013" max="11013" width="14.5546875" bestFit="1" customWidth="1"/>
    <col min="11014" max="11014" width="16.6640625" bestFit="1" customWidth="1"/>
    <col min="11015" max="11015" width="18.44140625" bestFit="1" customWidth="1"/>
    <col min="11265" max="11265" width="22.6640625" bestFit="1" customWidth="1"/>
    <col min="11266" max="11266" width="12.6640625" bestFit="1" customWidth="1"/>
    <col min="11267" max="11267" width="7.33203125" bestFit="1" customWidth="1"/>
    <col min="11268" max="11268" width="10.6640625" bestFit="1" customWidth="1"/>
    <col min="11269" max="11269" width="14.5546875" bestFit="1" customWidth="1"/>
    <col min="11270" max="11270" width="16.6640625" bestFit="1" customWidth="1"/>
    <col min="11271" max="11271" width="18.44140625" bestFit="1" customWidth="1"/>
    <col min="11521" max="11521" width="22.6640625" bestFit="1" customWidth="1"/>
    <col min="11522" max="11522" width="12.6640625" bestFit="1" customWidth="1"/>
    <col min="11523" max="11523" width="7.33203125" bestFit="1" customWidth="1"/>
    <col min="11524" max="11524" width="10.6640625" bestFit="1" customWidth="1"/>
    <col min="11525" max="11525" width="14.5546875" bestFit="1" customWidth="1"/>
    <col min="11526" max="11526" width="16.6640625" bestFit="1" customWidth="1"/>
    <col min="11527" max="11527" width="18.44140625" bestFit="1" customWidth="1"/>
    <col min="11777" max="11777" width="22.6640625" bestFit="1" customWidth="1"/>
    <col min="11778" max="11778" width="12.6640625" bestFit="1" customWidth="1"/>
    <col min="11779" max="11779" width="7.33203125" bestFit="1" customWidth="1"/>
    <col min="11780" max="11780" width="10.6640625" bestFit="1" customWidth="1"/>
    <col min="11781" max="11781" width="14.5546875" bestFit="1" customWidth="1"/>
    <col min="11782" max="11782" width="16.6640625" bestFit="1" customWidth="1"/>
    <col min="11783" max="11783" width="18.44140625" bestFit="1" customWidth="1"/>
    <col min="12033" max="12033" width="22.6640625" bestFit="1" customWidth="1"/>
    <col min="12034" max="12034" width="12.6640625" bestFit="1" customWidth="1"/>
    <col min="12035" max="12035" width="7.33203125" bestFit="1" customWidth="1"/>
    <col min="12036" max="12036" width="10.6640625" bestFit="1" customWidth="1"/>
    <col min="12037" max="12037" width="14.5546875" bestFit="1" customWidth="1"/>
    <col min="12038" max="12038" width="16.6640625" bestFit="1" customWidth="1"/>
    <col min="12039" max="12039" width="18.44140625" bestFit="1" customWidth="1"/>
    <col min="12289" max="12289" width="22.6640625" bestFit="1" customWidth="1"/>
    <col min="12290" max="12290" width="12.6640625" bestFit="1" customWidth="1"/>
    <col min="12291" max="12291" width="7.33203125" bestFit="1" customWidth="1"/>
    <col min="12292" max="12292" width="10.6640625" bestFit="1" customWidth="1"/>
    <col min="12293" max="12293" width="14.5546875" bestFit="1" customWidth="1"/>
    <col min="12294" max="12294" width="16.6640625" bestFit="1" customWidth="1"/>
    <col min="12295" max="12295" width="18.44140625" bestFit="1" customWidth="1"/>
    <col min="12545" max="12545" width="22.6640625" bestFit="1" customWidth="1"/>
    <col min="12546" max="12546" width="12.6640625" bestFit="1" customWidth="1"/>
    <col min="12547" max="12547" width="7.33203125" bestFit="1" customWidth="1"/>
    <col min="12548" max="12548" width="10.6640625" bestFit="1" customWidth="1"/>
    <col min="12549" max="12549" width="14.5546875" bestFit="1" customWidth="1"/>
    <col min="12550" max="12550" width="16.6640625" bestFit="1" customWidth="1"/>
    <col min="12551" max="12551" width="18.44140625" bestFit="1" customWidth="1"/>
    <col min="12801" max="12801" width="22.6640625" bestFit="1" customWidth="1"/>
    <col min="12802" max="12802" width="12.6640625" bestFit="1" customWidth="1"/>
    <col min="12803" max="12803" width="7.33203125" bestFit="1" customWidth="1"/>
    <col min="12804" max="12804" width="10.6640625" bestFit="1" customWidth="1"/>
    <col min="12805" max="12805" width="14.5546875" bestFit="1" customWidth="1"/>
    <col min="12806" max="12806" width="16.6640625" bestFit="1" customWidth="1"/>
    <col min="12807" max="12807" width="18.44140625" bestFit="1" customWidth="1"/>
    <col min="13057" max="13057" width="22.6640625" bestFit="1" customWidth="1"/>
    <col min="13058" max="13058" width="12.6640625" bestFit="1" customWidth="1"/>
    <col min="13059" max="13059" width="7.33203125" bestFit="1" customWidth="1"/>
    <col min="13060" max="13060" width="10.6640625" bestFit="1" customWidth="1"/>
    <col min="13061" max="13061" width="14.5546875" bestFit="1" customWidth="1"/>
    <col min="13062" max="13062" width="16.6640625" bestFit="1" customWidth="1"/>
    <col min="13063" max="13063" width="18.44140625" bestFit="1" customWidth="1"/>
    <col min="13313" max="13313" width="22.6640625" bestFit="1" customWidth="1"/>
    <col min="13314" max="13314" width="12.6640625" bestFit="1" customWidth="1"/>
    <col min="13315" max="13315" width="7.33203125" bestFit="1" customWidth="1"/>
    <col min="13316" max="13316" width="10.6640625" bestFit="1" customWidth="1"/>
    <col min="13317" max="13317" width="14.5546875" bestFit="1" customWidth="1"/>
    <col min="13318" max="13318" width="16.6640625" bestFit="1" customWidth="1"/>
    <col min="13319" max="13319" width="18.44140625" bestFit="1" customWidth="1"/>
    <col min="13569" max="13569" width="22.6640625" bestFit="1" customWidth="1"/>
    <col min="13570" max="13570" width="12.6640625" bestFit="1" customWidth="1"/>
    <col min="13571" max="13571" width="7.33203125" bestFit="1" customWidth="1"/>
    <col min="13572" max="13572" width="10.6640625" bestFit="1" customWidth="1"/>
    <col min="13573" max="13573" width="14.5546875" bestFit="1" customWidth="1"/>
    <col min="13574" max="13574" width="16.6640625" bestFit="1" customWidth="1"/>
    <col min="13575" max="13575" width="18.44140625" bestFit="1" customWidth="1"/>
    <col min="13825" max="13825" width="22.6640625" bestFit="1" customWidth="1"/>
    <col min="13826" max="13826" width="12.6640625" bestFit="1" customWidth="1"/>
    <col min="13827" max="13827" width="7.33203125" bestFit="1" customWidth="1"/>
    <col min="13828" max="13828" width="10.6640625" bestFit="1" customWidth="1"/>
    <col min="13829" max="13829" width="14.5546875" bestFit="1" customWidth="1"/>
    <col min="13830" max="13830" width="16.6640625" bestFit="1" customWidth="1"/>
    <col min="13831" max="13831" width="18.44140625" bestFit="1" customWidth="1"/>
    <col min="14081" max="14081" width="22.6640625" bestFit="1" customWidth="1"/>
    <col min="14082" max="14082" width="12.6640625" bestFit="1" customWidth="1"/>
    <col min="14083" max="14083" width="7.33203125" bestFit="1" customWidth="1"/>
    <col min="14084" max="14084" width="10.6640625" bestFit="1" customWidth="1"/>
    <col min="14085" max="14085" width="14.5546875" bestFit="1" customWidth="1"/>
    <col min="14086" max="14086" width="16.6640625" bestFit="1" customWidth="1"/>
    <col min="14087" max="14087" width="18.44140625" bestFit="1" customWidth="1"/>
    <col min="14337" max="14337" width="22.6640625" bestFit="1" customWidth="1"/>
    <col min="14338" max="14338" width="12.6640625" bestFit="1" customWidth="1"/>
    <col min="14339" max="14339" width="7.33203125" bestFit="1" customWidth="1"/>
    <col min="14340" max="14340" width="10.6640625" bestFit="1" customWidth="1"/>
    <col min="14341" max="14341" width="14.5546875" bestFit="1" customWidth="1"/>
    <col min="14342" max="14342" width="16.6640625" bestFit="1" customWidth="1"/>
    <col min="14343" max="14343" width="18.44140625" bestFit="1" customWidth="1"/>
    <col min="14593" max="14593" width="22.6640625" bestFit="1" customWidth="1"/>
    <col min="14594" max="14594" width="12.6640625" bestFit="1" customWidth="1"/>
    <col min="14595" max="14595" width="7.33203125" bestFit="1" customWidth="1"/>
    <col min="14596" max="14596" width="10.6640625" bestFit="1" customWidth="1"/>
    <col min="14597" max="14597" width="14.5546875" bestFit="1" customWidth="1"/>
    <col min="14598" max="14598" width="16.6640625" bestFit="1" customWidth="1"/>
    <col min="14599" max="14599" width="18.44140625" bestFit="1" customWidth="1"/>
    <col min="14849" max="14849" width="22.6640625" bestFit="1" customWidth="1"/>
    <col min="14850" max="14850" width="12.6640625" bestFit="1" customWidth="1"/>
    <col min="14851" max="14851" width="7.33203125" bestFit="1" customWidth="1"/>
    <col min="14852" max="14852" width="10.6640625" bestFit="1" customWidth="1"/>
    <col min="14853" max="14853" width="14.5546875" bestFit="1" customWidth="1"/>
    <col min="14854" max="14854" width="16.6640625" bestFit="1" customWidth="1"/>
    <col min="14855" max="14855" width="18.44140625" bestFit="1" customWidth="1"/>
    <col min="15105" max="15105" width="22.6640625" bestFit="1" customWidth="1"/>
    <col min="15106" max="15106" width="12.6640625" bestFit="1" customWidth="1"/>
    <col min="15107" max="15107" width="7.33203125" bestFit="1" customWidth="1"/>
    <col min="15108" max="15108" width="10.6640625" bestFit="1" customWidth="1"/>
    <col min="15109" max="15109" width="14.5546875" bestFit="1" customWidth="1"/>
    <col min="15110" max="15110" width="16.6640625" bestFit="1" customWidth="1"/>
    <col min="15111" max="15111" width="18.44140625" bestFit="1" customWidth="1"/>
    <col min="15361" max="15361" width="22.6640625" bestFit="1" customWidth="1"/>
    <col min="15362" max="15362" width="12.6640625" bestFit="1" customWidth="1"/>
    <col min="15363" max="15363" width="7.33203125" bestFit="1" customWidth="1"/>
    <col min="15364" max="15364" width="10.6640625" bestFit="1" customWidth="1"/>
    <col min="15365" max="15365" width="14.5546875" bestFit="1" customWidth="1"/>
    <col min="15366" max="15366" width="16.6640625" bestFit="1" customWidth="1"/>
    <col min="15367" max="15367" width="18.44140625" bestFit="1" customWidth="1"/>
    <col min="15617" max="15617" width="22.6640625" bestFit="1" customWidth="1"/>
    <col min="15618" max="15618" width="12.6640625" bestFit="1" customWidth="1"/>
    <col min="15619" max="15619" width="7.33203125" bestFit="1" customWidth="1"/>
    <col min="15620" max="15620" width="10.6640625" bestFit="1" customWidth="1"/>
    <col min="15621" max="15621" width="14.5546875" bestFit="1" customWidth="1"/>
    <col min="15622" max="15622" width="16.6640625" bestFit="1" customWidth="1"/>
    <col min="15623" max="15623" width="18.44140625" bestFit="1" customWidth="1"/>
    <col min="15873" max="15873" width="22.6640625" bestFit="1" customWidth="1"/>
    <col min="15874" max="15874" width="12.6640625" bestFit="1" customWidth="1"/>
    <col min="15875" max="15875" width="7.33203125" bestFit="1" customWidth="1"/>
    <col min="15876" max="15876" width="10.6640625" bestFit="1" customWidth="1"/>
    <col min="15877" max="15877" width="14.5546875" bestFit="1" customWidth="1"/>
    <col min="15878" max="15878" width="16.6640625" bestFit="1" customWidth="1"/>
    <col min="15879" max="15879" width="18.44140625" bestFit="1" customWidth="1"/>
    <col min="16129" max="16129" width="22.6640625" bestFit="1" customWidth="1"/>
    <col min="16130" max="16130" width="12.6640625" bestFit="1" customWidth="1"/>
    <col min="16131" max="16131" width="7.33203125" bestFit="1" customWidth="1"/>
    <col min="16132" max="16132" width="10.6640625" bestFit="1" customWidth="1"/>
    <col min="16133" max="16133" width="14.5546875" bestFit="1" customWidth="1"/>
    <col min="16134" max="16134" width="16.6640625" bestFit="1" customWidth="1"/>
    <col min="16135" max="16135" width="18.44140625" bestFit="1" customWidth="1"/>
  </cols>
  <sheetData>
    <row r="1" spans="1:2" s="84" customFormat="1" ht="13.2" x14ac:dyDescent="0.25">
      <c r="A1" s="184" t="s">
        <v>135</v>
      </c>
      <c r="B1" s="185">
        <v>300000</v>
      </c>
    </row>
    <row r="2" spans="1:2" s="84" customFormat="1" ht="13.2" x14ac:dyDescent="0.25">
      <c r="A2" s="184" t="s">
        <v>136</v>
      </c>
      <c r="B2" s="186">
        <v>5.2499999999999998E-2</v>
      </c>
    </row>
    <row r="3" spans="1:2" s="84" customFormat="1" ht="13.2" x14ac:dyDescent="0.25">
      <c r="A3" s="184" t="s">
        <v>137</v>
      </c>
      <c r="B3" s="188">
        <f>B2/B5</f>
        <v>4.3749999999999995E-3</v>
      </c>
    </row>
    <row r="4" spans="1:2" s="84" customFormat="1" ht="13.2" x14ac:dyDescent="0.25">
      <c r="A4" s="184" t="s">
        <v>10</v>
      </c>
      <c r="B4" s="187">
        <v>30</v>
      </c>
    </row>
    <row r="5" spans="1:2" s="84" customFormat="1" ht="26.4" x14ac:dyDescent="0.25">
      <c r="A5" s="184" t="s">
        <v>138</v>
      </c>
      <c r="B5" s="187">
        <v>12</v>
      </c>
    </row>
    <row r="6" spans="1:2" s="84" customFormat="1" ht="13.2" x14ac:dyDescent="0.25">
      <c r="A6" s="184" t="s">
        <v>12</v>
      </c>
      <c r="B6" s="188">
        <f>B4*B5</f>
        <v>360</v>
      </c>
    </row>
    <row r="7" spans="1:2" s="84" customFormat="1" ht="13.2" x14ac:dyDescent="0.25">
      <c r="A7" s="184" t="s">
        <v>145</v>
      </c>
      <c r="B7" s="192"/>
    </row>
  </sheetData>
  <pageMargins left="0.75" right="0.75" top="1" bottom="1" header="0.5" footer="0.5"/>
  <pageSetup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1"/>
  <sheetViews>
    <sheetView workbookViewId="0">
      <selection activeCell="B11" sqref="B11"/>
    </sheetView>
  </sheetViews>
  <sheetFormatPr defaultColWidth="22.88671875" defaultRowHeight="13.2" x14ac:dyDescent="0.25"/>
  <cols>
    <col min="1" max="1" width="15.77734375" style="84" customWidth="1"/>
    <col min="2" max="2" width="12.6640625" style="84" bestFit="1" customWidth="1"/>
    <col min="3" max="3" width="11.44140625" style="84" customWidth="1"/>
    <col min="4" max="4" width="11.77734375" style="84" bestFit="1" customWidth="1"/>
    <col min="5" max="5" width="14.5546875" style="84" bestFit="1" customWidth="1"/>
    <col min="6" max="6" width="16.6640625" style="84" bestFit="1" customWidth="1"/>
    <col min="7" max="7" width="18.44140625" style="84" bestFit="1" customWidth="1"/>
    <col min="8" max="256" width="22.88671875" style="84"/>
    <col min="257" max="257" width="22.6640625" style="84" bestFit="1" customWidth="1"/>
    <col min="258" max="258" width="12.6640625" style="84" bestFit="1" customWidth="1"/>
    <col min="259" max="259" width="7.33203125" style="84" bestFit="1" customWidth="1"/>
    <col min="260" max="260" width="10.6640625" style="84" bestFit="1" customWidth="1"/>
    <col min="261" max="261" width="14.5546875" style="84" bestFit="1" customWidth="1"/>
    <col min="262" max="262" width="16.6640625" style="84" bestFit="1" customWidth="1"/>
    <col min="263" max="263" width="18.44140625" style="84" bestFit="1" customWidth="1"/>
    <col min="264" max="512" width="22.88671875" style="84"/>
    <col min="513" max="513" width="22.6640625" style="84" bestFit="1" customWidth="1"/>
    <col min="514" max="514" width="12.6640625" style="84" bestFit="1" customWidth="1"/>
    <col min="515" max="515" width="7.33203125" style="84" bestFit="1" customWidth="1"/>
    <col min="516" max="516" width="10.6640625" style="84" bestFit="1" customWidth="1"/>
    <col min="517" max="517" width="14.5546875" style="84" bestFit="1" customWidth="1"/>
    <col min="518" max="518" width="16.6640625" style="84" bestFit="1" customWidth="1"/>
    <col min="519" max="519" width="18.44140625" style="84" bestFit="1" customWidth="1"/>
    <col min="520" max="768" width="22.88671875" style="84"/>
    <col min="769" max="769" width="22.6640625" style="84" bestFit="1" customWidth="1"/>
    <col min="770" max="770" width="12.6640625" style="84" bestFit="1" customWidth="1"/>
    <col min="771" max="771" width="7.33203125" style="84" bestFit="1" customWidth="1"/>
    <col min="772" max="772" width="10.6640625" style="84" bestFit="1" customWidth="1"/>
    <col min="773" max="773" width="14.5546875" style="84" bestFit="1" customWidth="1"/>
    <col min="774" max="774" width="16.6640625" style="84" bestFit="1" customWidth="1"/>
    <col min="775" max="775" width="18.44140625" style="84" bestFit="1" customWidth="1"/>
    <col min="776" max="1024" width="22.88671875" style="84"/>
    <col min="1025" max="1025" width="22.6640625" style="84" bestFit="1" customWidth="1"/>
    <col min="1026" max="1026" width="12.6640625" style="84" bestFit="1" customWidth="1"/>
    <col min="1027" max="1027" width="7.33203125" style="84" bestFit="1" customWidth="1"/>
    <col min="1028" max="1028" width="10.6640625" style="84" bestFit="1" customWidth="1"/>
    <col min="1029" max="1029" width="14.5546875" style="84" bestFit="1" customWidth="1"/>
    <col min="1030" max="1030" width="16.6640625" style="84" bestFit="1" customWidth="1"/>
    <col min="1031" max="1031" width="18.44140625" style="84" bestFit="1" customWidth="1"/>
    <col min="1032" max="1280" width="22.88671875" style="84"/>
    <col min="1281" max="1281" width="22.6640625" style="84" bestFit="1" customWidth="1"/>
    <col min="1282" max="1282" width="12.6640625" style="84" bestFit="1" customWidth="1"/>
    <col min="1283" max="1283" width="7.33203125" style="84" bestFit="1" customWidth="1"/>
    <col min="1284" max="1284" width="10.6640625" style="84" bestFit="1" customWidth="1"/>
    <col min="1285" max="1285" width="14.5546875" style="84" bestFit="1" customWidth="1"/>
    <col min="1286" max="1286" width="16.6640625" style="84" bestFit="1" customWidth="1"/>
    <col min="1287" max="1287" width="18.44140625" style="84" bestFit="1" customWidth="1"/>
    <col min="1288" max="1536" width="22.88671875" style="84"/>
    <col min="1537" max="1537" width="22.6640625" style="84" bestFit="1" customWidth="1"/>
    <col min="1538" max="1538" width="12.6640625" style="84" bestFit="1" customWidth="1"/>
    <col min="1539" max="1539" width="7.33203125" style="84" bestFit="1" customWidth="1"/>
    <col min="1540" max="1540" width="10.6640625" style="84" bestFit="1" customWidth="1"/>
    <col min="1541" max="1541" width="14.5546875" style="84" bestFit="1" customWidth="1"/>
    <col min="1542" max="1542" width="16.6640625" style="84" bestFit="1" customWidth="1"/>
    <col min="1543" max="1543" width="18.44140625" style="84" bestFit="1" customWidth="1"/>
    <col min="1544" max="1792" width="22.88671875" style="84"/>
    <col min="1793" max="1793" width="22.6640625" style="84" bestFit="1" customWidth="1"/>
    <col min="1794" max="1794" width="12.6640625" style="84" bestFit="1" customWidth="1"/>
    <col min="1795" max="1795" width="7.33203125" style="84" bestFit="1" customWidth="1"/>
    <col min="1796" max="1796" width="10.6640625" style="84" bestFit="1" customWidth="1"/>
    <col min="1797" max="1797" width="14.5546875" style="84" bestFit="1" customWidth="1"/>
    <col min="1798" max="1798" width="16.6640625" style="84" bestFit="1" customWidth="1"/>
    <col min="1799" max="1799" width="18.44140625" style="84" bestFit="1" customWidth="1"/>
    <col min="1800" max="2048" width="22.88671875" style="84"/>
    <col min="2049" max="2049" width="22.6640625" style="84" bestFit="1" customWidth="1"/>
    <col min="2050" max="2050" width="12.6640625" style="84" bestFit="1" customWidth="1"/>
    <col min="2051" max="2051" width="7.33203125" style="84" bestFit="1" customWidth="1"/>
    <col min="2052" max="2052" width="10.6640625" style="84" bestFit="1" customWidth="1"/>
    <col min="2053" max="2053" width="14.5546875" style="84" bestFit="1" customWidth="1"/>
    <col min="2054" max="2054" width="16.6640625" style="84" bestFit="1" customWidth="1"/>
    <col min="2055" max="2055" width="18.44140625" style="84" bestFit="1" customWidth="1"/>
    <col min="2056" max="2304" width="22.88671875" style="84"/>
    <col min="2305" max="2305" width="22.6640625" style="84" bestFit="1" customWidth="1"/>
    <col min="2306" max="2306" width="12.6640625" style="84" bestFit="1" customWidth="1"/>
    <col min="2307" max="2307" width="7.33203125" style="84" bestFit="1" customWidth="1"/>
    <col min="2308" max="2308" width="10.6640625" style="84" bestFit="1" customWidth="1"/>
    <col min="2309" max="2309" width="14.5546875" style="84" bestFit="1" customWidth="1"/>
    <col min="2310" max="2310" width="16.6640625" style="84" bestFit="1" customWidth="1"/>
    <col min="2311" max="2311" width="18.44140625" style="84" bestFit="1" customWidth="1"/>
    <col min="2312" max="2560" width="22.88671875" style="84"/>
    <col min="2561" max="2561" width="22.6640625" style="84" bestFit="1" customWidth="1"/>
    <col min="2562" max="2562" width="12.6640625" style="84" bestFit="1" customWidth="1"/>
    <col min="2563" max="2563" width="7.33203125" style="84" bestFit="1" customWidth="1"/>
    <col min="2564" max="2564" width="10.6640625" style="84" bestFit="1" customWidth="1"/>
    <col min="2565" max="2565" width="14.5546875" style="84" bestFit="1" customWidth="1"/>
    <col min="2566" max="2566" width="16.6640625" style="84" bestFit="1" customWidth="1"/>
    <col min="2567" max="2567" width="18.44140625" style="84" bestFit="1" customWidth="1"/>
    <col min="2568" max="2816" width="22.88671875" style="84"/>
    <col min="2817" max="2817" width="22.6640625" style="84" bestFit="1" customWidth="1"/>
    <col min="2818" max="2818" width="12.6640625" style="84" bestFit="1" customWidth="1"/>
    <col min="2819" max="2819" width="7.33203125" style="84" bestFit="1" customWidth="1"/>
    <col min="2820" max="2820" width="10.6640625" style="84" bestFit="1" customWidth="1"/>
    <col min="2821" max="2821" width="14.5546875" style="84" bestFit="1" customWidth="1"/>
    <col min="2822" max="2822" width="16.6640625" style="84" bestFit="1" customWidth="1"/>
    <col min="2823" max="2823" width="18.44140625" style="84" bestFit="1" customWidth="1"/>
    <col min="2824" max="3072" width="22.88671875" style="84"/>
    <col min="3073" max="3073" width="22.6640625" style="84" bestFit="1" customWidth="1"/>
    <col min="3074" max="3074" width="12.6640625" style="84" bestFit="1" customWidth="1"/>
    <col min="3075" max="3075" width="7.33203125" style="84" bestFit="1" customWidth="1"/>
    <col min="3076" max="3076" width="10.6640625" style="84" bestFit="1" customWidth="1"/>
    <col min="3077" max="3077" width="14.5546875" style="84" bestFit="1" customWidth="1"/>
    <col min="3078" max="3078" width="16.6640625" style="84" bestFit="1" customWidth="1"/>
    <col min="3079" max="3079" width="18.44140625" style="84" bestFit="1" customWidth="1"/>
    <col min="3080" max="3328" width="22.88671875" style="84"/>
    <col min="3329" max="3329" width="22.6640625" style="84" bestFit="1" customWidth="1"/>
    <col min="3330" max="3330" width="12.6640625" style="84" bestFit="1" customWidth="1"/>
    <col min="3331" max="3331" width="7.33203125" style="84" bestFit="1" customWidth="1"/>
    <col min="3332" max="3332" width="10.6640625" style="84" bestFit="1" customWidth="1"/>
    <col min="3333" max="3333" width="14.5546875" style="84" bestFit="1" customWidth="1"/>
    <col min="3334" max="3334" width="16.6640625" style="84" bestFit="1" customWidth="1"/>
    <col min="3335" max="3335" width="18.44140625" style="84" bestFit="1" customWidth="1"/>
    <col min="3336" max="3584" width="22.88671875" style="84"/>
    <col min="3585" max="3585" width="22.6640625" style="84" bestFit="1" customWidth="1"/>
    <col min="3586" max="3586" width="12.6640625" style="84" bestFit="1" customWidth="1"/>
    <col min="3587" max="3587" width="7.33203125" style="84" bestFit="1" customWidth="1"/>
    <col min="3588" max="3588" width="10.6640625" style="84" bestFit="1" customWidth="1"/>
    <col min="3589" max="3589" width="14.5546875" style="84" bestFit="1" customWidth="1"/>
    <col min="3590" max="3590" width="16.6640625" style="84" bestFit="1" customWidth="1"/>
    <col min="3591" max="3591" width="18.44140625" style="84" bestFit="1" customWidth="1"/>
    <col min="3592" max="3840" width="22.88671875" style="84"/>
    <col min="3841" max="3841" width="22.6640625" style="84" bestFit="1" customWidth="1"/>
    <col min="3842" max="3842" width="12.6640625" style="84" bestFit="1" customWidth="1"/>
    <col min="3843" max="3843" width="7.33203125" style="84" bestFit="1" customWidth="1"/>
    <col min="3844" max="3844" width="10.6640625" style="84" bestFit="1" customWidth="1"/>
    <col min="3845" max="3845" width="14.5546875" style="84" bestFit="1" customWidth="1"/>
    <col min="3846" max="3846" width="16.6640625" style="84" bestFit="1" customWidth="1"/>
    <col min="3847" max="3847" width="18.44140625" style="84" bestFit="1" customWidth="1"/>
    <col min="3848" max="4096" width="22.88671875" style="84"/>
    <col min="4097" max="4097" width="22.6640625" style="84" bestFit="1" customWidth="1"/>
    <col min="4098" max="4098" width="12.6640625" style="84" bestFit="1" customWidth="1"/>
    <col min="4099" max="4099" width="7.33203125" style="84" bestFit="1" customWidth="1"/>
    <col min="4100" max="4100" width="10.6640625" style="84" bestFit="1" customWidth="1"/>
    <col min="4101" max="4101" width="14.5546875" style="84" bestFit="1" customWidth="1"/>
    <col min="4102" max="4102" width="16.6640625" style="84" bestFit="1" customWidth="1"/>
    <col min="4103" max="4103" width="18.44140625" style="84" bestFit="1" customWidth="1"/>
    <col min="4104" max="4352" width="22.88671875" style="84"/>
    <col min="4353" max="4353" width="22.6640625" style="84" bestFit="1" customWidth="1"/>
    <col min="4354" max="4354" width="12.6640625" style="84" bestFit="1" customWidth="1"/>
    <col min="4355" max="4355" width="7.33203125" style="84" bestFit="1" customWidth="1"/>
    <col min="4356" max="4356" width="10.6640625" style="84" bestFit="1" customWidth="1"/>
    <col min="4357" max="4357" width="14.5546875" style="84" bestFit="1" customWidth="1"/>
    <col min="4358" max="4358" width="16.6640625" style="84" bestFit="1" customWidth="1"/>
    <col min="4359" max="4359" width="18.44140625" style="84" bestFit="1" customWidth="1"/>
    <col min="4360" max="4608" width="22.88671875" style="84"/>
    <col min="4609" max="4609" width="22.6640625" style="84" bestFit="1" customWidth="1"/>
    <col min="4610" max="4610" width="12.6640625" style="84" bestFit="1" customWidth="1"/>
    <col min="4611" max="4611" width="7.33203125" style="84" bestFit="1" customWidth="1"/>
    <col min="4612" max="4612" width="10.6640625" style="84" bestFit="1" customWidth="1"/>
    <col min="4613" max="4613" width="14.5546875" style="84" bestFit="1" customWidth="1"/>
    <col min="4614" max="4614" width="16.6640625" style="84" bestFit="1" customWidth="1"/>
    <col min="4615" max="4615" width="18.44140625" style="84" bestFit="1" customWidth="1"/>
    <col min="4616" max="4864" width="22.88671875" style="84"/>
    <col min="4865" max="4865" width="22.6640625" style="84" bestFit="1" customWidth="1"/>
    <col min="4866" max="4866" width="12.6640625" style="84" bestFit="1" customWidth="1"/>
    <col min="4867" max="4867" width="7.33203125" style="84" bestFit="1" customWidth="1"/>
    <col min="4868" max="4868" width="10.6640625" style="84" bestFit="1" customWidth="1"/>
    <col min="4869" max="4869" width="14.5546875" style="84" bestFit="1" customWidth="1"/>
    <col min="4870" max="4870" width="16.6640625" style="84" bestFit="1" customWidth="1"/>
    <col min="4871" max="4871" width="18.44140625" style="84" bestFit="1" customWidth="1"/>
    <col min="4872" max="5120" width="22.88671875" style="84"/>
    <col min="5121" max="5121" width="22.6640625" style="84" bestFit="1" customWidth="1"/>
    <col min="5122" max="5122" width="12.6640625" style="84" bestFit="1" customWidth="1"/>
    <col min="5123" max="5123" width="7.33203125" style="84" bestFit="1" customWidth="1"/>
    <col min="5124" max="5124" width="10.6640625" style="84" bestFit="1" customWidth="1"/>
    <col min="5125" max="5125" width="14.5546875" style="84" bestFit="1" customWidth="1"/>
    <col min="5126" max="5126" width="16.6640625" style="84" bestFit="1" customWidth="1"/>
    <col min="5127" max="5127" width="18.44140625" style="84" bestFit="1" customWidth="1"/>
    <col min="5128" max="5376" width="22.88671875" style="84"/>
    <col min="5377" max="5377" width="22.6640625" style="84" bestFit="1" customWidth="1"/>
    <col min="5378" max="5378" width="12.6640625" style="84" bestFit="1" customWidth="1"/>
    <col min="5379" max="5379" width="7.33203125" style="84" bestFit="1" customWidth="1"/>
    <col min="5380" max="5380" width="10.6640625" style="84" bestFit="1" customWidth="1"/>
    <col min="5381" max="5381" width="14.5546875" style="84" bestFit="1" customWidth="1"/>
    <col min="5382" max="5382" width="16.6640625" style="84" bestFit="1" customWidth="1"/>
    <col min="5383" max="5383" width="18.44140625" style="84" bestFit="1" customWidth="1"/>
    <col min="5384" max="5632" width="22.88671875" style="84"/>
    <col min="5633" max="5633" width="22.6640625" style="84" bestFit="1" customWidth="1"/>
    <col min="5634" max="5634" width="12.6640625" style="84" bestFit="1" customWidth="1"/>
    <col min="5635" max="5635" width="7.33203125" style="84" bestFit="1" customWidth="1"/>
    <col min="5636" max="5636" width="10.6640625" style="84" bestFit="1" customWidth="1"/>
    <col min="5637" max="5637" width="14.5546875" style="84" bestFit="1" customWidth="1"/>
    <col min="5638" max="5638" width="16.6640625" style="84" bestFit="1" customWidth="1"/>
    <col min="5639" max="5639" width="18.44140625" style="84" bestFit="1" customWidth="1"/>
    <col min="5640" max="5888" width="22.88671875" style="84"/>
    <col min="5889" max="5889" width="22.6640625" style="84" bestFit="1" customWidth="1"/>
    <col min="5890" max="5890" width="12.6640625" style="84" bestFit="1" customWidth="1"/>
    <col min="5891" max="5891" width="7.33203125" style="84" bestFit="1" customWidth="1"/>
    <col min="5892" max="5892" width="10.6640625" style="84" bestFit="1" customWidth="1"/>
    <col min="5893" max="5893" width="14.5546875" style="84" bestFit="1" customWidth="1"/>
    <col min="5894" max="5894" width="16.6640625" style="84" bestFit="1" customWidth="1"/>
    <col min="5895" max="5895" width="18.44140625" style="84" bestFit="1" customWidth="1"/>
    <col min="5896" max="6144" width="22.88671875" style="84"/>
    <col min="6145" max="6145" width="22.6640625" style="84" bestFit="1" customWidth="1"/>
    <col min="6146" max="6146" width="12.6640625" style="84" bestFit="1" customWidth="1"/>
    <col min="6147" max="6147" width="7.33203125" style="84" bestFit="1" customWidth="1"/>
    <col min="6148" max="6148" width="10.6640625" style="84" bestFit="1" customWidth="1"/>
    <col min="6149" max="6149" width="14.5546875" style="84" bestFit="1" customWidth="1"/>
    <col min="6150" max="6150" width="16.6640625" style="84" bestFit="1" customWidth="1"/>
    <col min="6151" max="6151" width="18.44140625" style="84" bestFit="1" customWidth="1"/>
    <col min="6152" max="6400" width="22.88671875" style="84"/>
    <col min="6401" max="6401" width="22.6640625" style="84" bestFit="1" customWidth="1"/>
    <col min="6402" max="6402" width="12.6640625" style="84" bestFit="1" customWidth="1"/>
    <col min="6403" max="6403" width="7.33203125" style="84" bestFit="1" customWidth="1"/>
    <col min="6404" max="6404" width="10.6640625" style="84" bestFit="1" customWidth="1"/>
    <col min="6405" max="6405" width="14.5546875" style="84" bestFit="1" customWidth="1"/>
    <col min="6406" max="6406" width="16.6640625" style="84" bestFit="1" customWidth="1"/>
    <col min="6407" max="6407" width="18.44140625" style="84" bestFit="1" customWidth="1"/>
    <col min="6408" max="6656" width="22.88671875" style="84"/>
    <col min="6657" max="6657" width="22.6640625" style="84" bestFit="1" customWidth="1"/>
    <col min="6658" max="6658" width="12.6640625" style="84" bestFit="1" customWidth="1"/>
    <col min="6659" max="6659" width="7.33203125" style="84" bestFit="1" customWidth="1"/>
    <col min="6660" max="6660" width="10.6640625" style="84" bestFit="1" customWidth="1"/>
    <col min="6661" max="6661" width="14.5546875" style="84" bestFit="1" customWidth="1"/>
    <col min="6662" max="6662" width="16.6640625" style="84" bestFit="1" customWidth="1"/>
    <col min="6663" max="6663" width="18.44140625" style="84" bestFit="1" customWidth="1"/>
    <col min="6664" max="6912" width="22.88671875" style="84"/>
    <col min="6913" max="6913" width="22.6640625" style="84" bestFit="1" customWidth="1"/>
    <col min="6914" max="6914" width="12.6640625" style="84" bestFit="1" customWidth="1"/>
    <col min="6915" max="6915" width="7.33203125" style="84" bestFit="1" customWidth="1"/>
    <col min="6916" max="6916" width="10.6640625" style="84" bestFit="1" customWidth="1"/>
    <col min="6917" max="6917" width="14.5546875" style="84" bestFit="1" customWidth="1"/>
    <col min="6918" max="6918" width="16.6640625" style="84" bestFit="1" customWidth="1"/>
    <col min="6919" max="6919" width="18.44140625" style="84" bestFit="1" customWidth="1"/>
    <col min="6920" max="7168" width="22.88671875" style="84"/>
    <col min="7169" max="7169" width="22.6640625" style="84" bestFit="1" customWidth="1"/>
    <col min="7170" max="7170" width="12.6640625" style="84" bestFit="1" customWidth="1"/>
    <col min="7171" max="7171" width="7.33203125" style="84" bestFit="1" customWidth="1"/>
    <col min="7172" max="7172" width="10.6640625" style="84" bestFit="1" customWidth="1"/>
    <col min="7173" max="7173" width="14.5546875" style="84" bestFit="1" customWidth="1"/>
    <col min="7174" max="7174" width="16.6640625" style="84" bestFit="1" customWidth="1"/>
    <col min="7175" max="7175" width="18.44140625" style="84" bestFit="1" customWidth="1"/>
    <col min="7176" max="7424" width="22.88671875" style="84"/>
    <col min="7425" max="7425" width="22.6640625" style="84" bestFit="1" customWidth="1"/>
    <col min="7426" max="7426" width="12.6640625" style="84" bestFit="1" customWidth="1"/>
    <col min="7427" max="7427" width="7.33203125" style="84" bestFit="1" customWidth="1"/>
    <col min="7428" max="7428" width="10.6640625" style="84" bestFit="1" customWidth="1"/>
    <col min="7429" max="7429" width="14.5546875" style="84" bestFit="1" customWidth="1"/>
    <col min="7430" max="7430" width="16.6640625" style="84" bestFit="1" customWidth="1"/>
    <col min="7431" max="7431" width="18.44140625" style="84" bestFit="1" customWidth="1"/>
    <col min="7432" max="7680" width="22.88671875" style="84"/>
    <col min="7681" max="7681" width="22.6640625" style="84" bestFit="1" customWidth="1"/>
    <col min="7682" max="7682" width="12.6640625" style="84" bestFit="1" customWidth="1"/>
    <col min="7683" max="7683" width="7.33203125" style="84" bestFit="1" customWidth="1"/>
    <col min="7684" max="7684" width="10.6640625" style="84" bestFit="1" customWidth="1"/>
    <col min="7685" max="7685" width="14.5546875" style="84" bestFit="1" customWidth="1"/>
    <col min="7686" max="7686" width="16.6640625" style="84" bestFit="1" customWidth="1"/>
    <col min="7687" max="7687" width="18.44140625" style="84" bestFit="1" customWidth="1"/>
    <col min="7688" max="7936" width="22.88671875" style="84"/>
    <col min="7937" max="7937" width="22.6640625" style="84" bestFit="1" customWidth="1"/>
    <col min="7938" max="7938" width="12.6640625" style="84" bestFit="1" customWidth="1"/>
    <col min="7939" max="7939" width="7.33203125" style="84" bestFit="1" customWidth="1"/>
    <col min="7940" max="7940" width="10.6640625" style="84" bestFit="1" customWidth="1"/>
    <col min="7941" max="7941" width="14.5546875" style="84" bestFit="1" customWidth="1"/>
    <col min="7942" max="7942" width="16.6640625" style="84" bestFit="1" customWidth="1"/>
    <col min="7943" max="7943" width="18.44140625" style="84" bestFit="1" customWidth="1"/>
    <col min="7944" max="8192" width="22.88671875" style="84"/>
    <col min="8193" max="8193" width="22.6640625" style="84" bestFit="1" customWidth="1"/>
    <col min="8194" max="8194" width="12.6640625" style="84" bestFit="1" customWidth="1"/>
    <col min="8195" max="8195" width="7.33203125" style="84" bestFit="1" customWidth="1"/>
    <col min="8196" max="8196" width="10.6640625" style="84" bestFit="1" customWidth="1"/>
    <col min="8197" max="8197" width="14.5546875" style="84" bestFit="1" customWidth="1"/>
    <col min="8198" max="8198" width="16.6640625" style="84" bestFit="1" customWidth="1"/>
    <col min="8199" max="8199" width="18.44140625" style="84" bestFit="1" customWidth="1"/>
    <col min="8200" max="8448" width="22.88671875" style="84"/>
    <col min="8449" max="8449" width="22.6640625" style="84" bestFit="1" customWidth="1"/>
    <col min="8450" max="8450" width="12.6640625" style="84" bestFit="1" customWidth="1"/>
    <col min="8451" max="8451" width="7.33203125" style="84" bestFit="1" customWidth="1"/>
    <col min="8452" max="8452" width="10.6640625" style="84" bestFit="1" customWidth="1"/>
    <col min="8453" max="8453" width="14.5546875" style="84" bestFit="1" customWidth="1"/>
    <col min="8454" max="8454" width="16.6640625" style="84" bestFit="1" customWidth="1"/>
    <col min="8455" max="8455" width="18.44140625" style="84" bestFit="1" customWidth="1"/>
    <col min="8456" max="8704" width="22.88671875" style="84"/>
    <col min="8705" max="8705" width="22.6640625" style="84" bestFit="1" customWidth="1"/>
    <col min="8706" max="8706" width="12.6640625" style="84" bestFit="1" customWidth="1"/>
    <col min="8707" max="8707" width="7.33203125" style="84" bestFit="1" customWidth="1"/>
    <col min="8708" max="8708" width="10.6640625" style="84" bestFit="1" customWidth="1"/>
    <col min="8709" max="8709" width="14.5546875" style="84" bestFit="1" customWidth="1"/>
    <col min="8710" max="8710" width="16.6640625" style="84" bestFit="1" customWidth="1"/>
    <col min="8711" max="8711" width="18.44140625" style="84" bestFit="1" customWidth="1"/>
    <col min="8712" max="8960" width="22.88671875" style="84"/>
    <col min="8961" max="8961" width="22.6640625" style="84" bestFit="1" customWidth="1"/>
    <col min="8962" max="8962" width="12.6640625" style="84" bestFit="1" customWidth="1"/>
    <col min="8963" max="8963" width="7.33203125" style="84" bestFit="1" customWidth="1"/>
    <col min="8964" max="8964" width="10.6640625" style="84" bestFit="1" customWidth="1"/>
    <col min="8965" max="8965" width="14.5546875" style="84" bestFit="1" customWidth="1"/>
    <col min="8966" max="8966" width="16.6640625" style="84" bestFit="1" customWidth="1"/>
    <col min="8967" max="8967" width="18.44140625" style="84" bestFit="1" customWidth="1"/>
    <col min="8968" max="9216" width="22.88671875" style="84"/>
    <col min="9217" max="9217" width="22.6640625" style="84" bestFit="1" customWidth="1"/>
    <col min="9218" max="9218" width="12.6640625" style="84" bestFit="1" customWidth="1"/>
    <col min="9219" max="9219" width="7.33203125" style="84" bestFit="1" customWidth="1"/>
    <col min="9220" max="9220" width="10.6640625" style="84" bestFit="1" customWidth="1"/>
    <col min="9221" max="9221" width="14.5546875" style="84" bestFit="1" customWidth="1"/>
    <col min="9222" max="9222" width="16.6640625" style="84" bestFit="1" customWidth="1"/>
    <col min="9223" max="9223" width="18.44140625" style="84" bestFit="1" customWidth="1"/>
    <col min="9224" max="9472" width="22.88671875" style="84"/>
    <col min="9473" max="9473" width="22.6640625" style="84" bestFit="1" customWidth="1"/>
    <col min="9474" max="9474" width="12.6640625" style="84" bestFit="1" customWidth="1"/>
    <col min="9475" max="9475" width="7.33203125" style="84" bestFit="1" customWidth="1"/>
    <col min="9476" max="9476" width="10.6640625" style="84" bestFit="1" customWidth="1"/>
    <col min="9477" max="9477" width="14.5546875" style="84" bestFit="1" customWidth="1"/>
    <col min="9478" max="9478" width="16.6640625" style="84" bestFit="1" customWidth="1"/>
    <col min="9479" max="9479" width="18.44140625" style="84" bestFit="1" customWidth="1"/>
    <col min="9480" max="9728" width="22.88671875" style="84"/>
    <col min="9729" max="9729" width="22.6640625" style="84" bestFit="1" customWidth="1"/>
    <col min="9730" max="9730" width="12.6640625" style="84" bestFit="1" customWidth="1"/>
    <col min="9731" max="9731" width="7.33203125" style="84" bestFit="1" customWidth="1"/>
    <col min="9732" max="9732" width="10.6640625" style="84" bestFit="1" customWidth="1"/>
    <col min="9733" max="9733" width="14.5546875" style="84" bestFit="1" customWidth="1"/>
    <col min="9734" max="9734" width="16.6640625" style="84" bestFit="1" customWidth="1"/>
    <col min="9735" max="9735" width="18.44140625" style="84" bestFit="1" customWidth="1"/>
    <col min="9736" max="9984" width="22.88671875" style="84"/>
    <col min="9985" max="9985" width="22.6640625" style="84" bestFit="1" customWidth="1"/>
    <col min="9986" max="9986" width="12.6640625" style="84" bestFit="1" customWidth="1"/>
    <col min="9987" max="9987" width="7.33203125" style="84" bestFit="1" customWidth="1"/>
    <col min="9988" max="9988" width="10.6640625" style="84" bestFit="1" customWidth="1"/>
    <col min="9989" max="9989" width="14.5546875" style="84" bestFit="1" customWidth="1"/>
    <col min="9990" max="9990" width="16.6640625" style="84" bestFit="1" customWidth="1"/>
    <col min="9991" max="9991" width="18.44140625" style="84" bestFit="1" customWidth="1"/>
    <col min="9992" max="10240" width="22.88671875" style="84"/>
    <col min="10241" max="10241" width="22.6640625" style="84" bestFit="1" customWidth="1"/>
    <col min="10242" max="10242" width="12.6640625" style="84" bestFit="1" customWidth="1"/>
    <col min="10243" max="10243" width="7.33203125" style="84" bestFit="1" customWidth="1"/>
    <col min="10244" max="10244" width="10.6640625" style="84" bestFit="1" customWidth="1"/>
    <col min="10245" max="10245" width="14.5546875" style="84" bestFit="1" customWidth="1"/>
    <col min="10246" max="10246" width="16.6640625" style="84" bestFit="1" customWidth="1"/>
    <col min="10247" max="10247" width="18.44140625" style="84" bestFit="1" customWidth="1"/>
    <col min="10248" max="10496" width="22.88671875" style="84"/>
    <col min="10497" max="10497" width="22.6640625" style="84" bestFit="1" customWidth="1"/>
    <col min="10498" max="10498" width="12.6640625" style="84" bestFit="1" customWidth="1"/>
    <col min="10499" max="10499" width="7.33203125" style="84" bestFit="1" customWidth="1"/>
    <col min="10500" max="10500" width="10.6640625" style="84" bestFit="1" customWidth="1"/>
    <col min="10501" max="10501" width="14.5546875" style="84" bestFit="1" customWidth="1"/>
    <col min="10502" max="10502" width="16.6640625" style="84" bestFit="1" customWidth="1"/>
    <col min="10503" max="10503" width="18.44140625" style="84" bestFit="1" customWidth="1"/>
    <col min="10504" max="10752" width="22.88671875" style="84"/>
    <col min="10753" max="10753" width="22.6640625" style="84" bestFit="1" customWidth="1"/>
    <col min="10754" max="10754" width="12.6640625" style="84" bestFit="1" customWidth="1"/>
    <col min="10755" max="10755" width="7.33203125" style="84" bestFit="1" customWidth="1"/>
    <col min="10756" max="10756" width="10.6640625" style="84" bestFit="1" customWidth="1"/>
    <col min="10757" max="10757" width="14.5546875" style="84" bestFit="1" customWidth="1"/>
    <col min="10758" max="10758" width="16.6640625" style="84" bestFit="1" customWidth="1"/>
    <col min="10759" max="10759" width="18.44140625" style="84" bestFit="1" customWidth="1"/>
    <col min="10760" max="11008" width="22.88671875" style="84"/>
    <col min="11009" max="11009" width="22.6640625" style="84" bestFit="1" customWidth="1"/>
    <col min="11010" max="11010" width="12.6640625" style="84" bestFit="1" customWidth="1"/>
    <col min="11011" max="11011" width="7.33203125" style="84" bestFit="1" customWidth="1"/>
    <col min="11012" max="11012" width="10.6640625" style="84" bestFit="1" customWidth="1"/>
    <col min="11013" max="11013" width="14.5546875" style="84" bestFit="1" customWidth="1"/>
    <col min="11014" max="11014" width="16.6640625" style="84" bestFit="1" customWidth="1"/>
    <col min="11015" max="11015" width="18.44140625" style="84" bestFit="1" customWidth="1"/>
    <col min="11016" max="11264" width="22.88671875" style="84"/>
    <col min="11265" max="11265" width="22.6640625" style="84" bestFit="1" customWidth="1"/>
    <col min="11266" max="11266" width="12.6640625" style="84" bestFit="1" customWidth="1"/>
    <col min="11267" max="11267" width="7.33203125" style="84" bestFit="1" customWidth="1"/>
    <col min="11268" max="11268" width="10.6640625" style="84" bestFit="1" customWidth="1"/>
    <col min="11269" max="11269" width="14.5546875" style="84" bestFit="1" customWidth="1"/>
    <col min="11270" max="11270" width="16.6640625" style="84" bestFit="1" customWidth="1"/>
    <col min="11271" max="11271" width="18.44140625" style="84" bestFit="1" customWidth="1"/>
    <col min="11272" max="11520" width="22.88671875" style="84"/>
    <col min="11521" max="11521" width="22.6640625" style="84" bestFit="1" customWidth="1"/>
    <col min="11522" max="11522" width="12.6640625" style="84" bestFit="1" customWidth="1"/>
    <col min="11523" max="11523" width="7.33203125" style="84" bestFit="1" customWidth="1"/>
    <col min="11524" max="11524" width="10.6640625" style="84" bestFit="1" customWidth="1"/>
    <col min="11525" max="11525" width="14.5546875" style="84" bestFit="1" customWidth="1"/>
    <col min="11526" max="11526" width="16.6640625" style="84" bestFit="1" customWidth="1"/>
    <col min="11527" max="11527" width="18.44140625" style="84" bestFit="1" customWidth="1"/>
    <col min="11528" max="11776" width="22.88671875" style="84"/>
    <col min="11777" max="11777" width="22.6640625" style="84" bestFit="1" customWidth="1"/>
    <col min="11778" max="11778" width="12.6640625" style="84" bestFit="1" customWidth="1"/>
    <col min="11779" max="11779" width="7.33203125" style="84" bestFit="1" customWidth="1"/>
    <col min="11780" max="11780" width="10.6640625" style="84" bestFit="1" customWidth="1"/>
    <col min="11781" max="11781" width="14.5546875" style="84" bestFit="1" customWidth="1"/>
    <col min="11782" max="11782" width="16.6640625" style="84" bestFit="1" customWidth="1"/>
    <col min="11783" max="11783" width="18.44140625" style="84" bestFit="1" customWidth="1"/>
    <col min="11784" max="12032" width="22.88671875" style="84"/>
    <col min="12033" max="12033" width="22.6640625" style="84" bestFit="1" customWidth="1"/>
    <col min="12034" max="12034" width="12.6640625" style="84" bestFit="1" customWidth="1"/>
    <col min="12035" max="12035" width="7.33203125" style="84" bestFit="1" customWidth="1"/>
    <col min="12036" max="12036" width="10.6640625" style="84" bestFit="1" customWidth="1"/>
    <col min="12037" max="12037" width="14.5546875" style="84" bestFit="1" customWidth="1"/>
    <col min="12038" max="12038" width="16.6640625" style="84" bestFit="1" customWidth="1"/>
    <col min="12039" max="12039" width="18.44140625" style="84" bestFit="1" customWidth="1"/>
    <col min="12040" max="12288" width="22.88671875" style="84"/>
    <col min="12289" max="12289" width="22.6640625" style="84" bestFit="1" customWidth="1"/>
    <col min="12290" max="12290" width="12.6640625" style="84" bestFit="1" customWidth="1"/>
    <col min="12291" max="12291" width="7.33203125" style="84" bestFit="1" customWidth="1"/>
    <col min="12292" max="12292" width="10.6640625" style="84" bestFit="1" customWidth="1"/>
    <col min="12293" max="12293" width="14.5546875" style="84" bestFit="1" customWidth="1"/>
    <col min="12294" max="12294" width="16.6640625" style="84" bestFit="1" customWidth="1"/>
    <col min="12295" max="12295" width="18.44140625" style="84" bestFit="1" customWidth="1"/>
    <col min="12296" max="12544" width="22.88671875" style="84"/>
    <col min="12545" max="12545" width="22.6640625" style="84" bestFit="1" customWidth="1"/>
    <col min="12546" max="12546" width="12.6640625" style="84" bestFit="1" customWidth="1"/>
    <col min="12547" max="12547" width="7.33203125" style="84" bestFit="1" customWidth="1"/>
    <col min="12548" max="12548" width="10.6640625" style="84" bestFit="1" customWidth="1"/>
    <col min="12549" max="12549" width="14.5546875" style="84" bestFit="1" customWidth="1"/>
    <col min="12550" max="12550" width="16.6640625" style="84" bestFit="1" customWidth="1"/>
    <col min="12551" max="12551" width="18.44140625" style="84" bestFit="1" customWidth="1"/>
    <col min="12552" max="12800" width="22.88671875" style="84"/>
    <col min="12801" max="12801" width="22.6640625" style="84" bestFit="1" customWidth="1"/>
    <col min="12802" max="12802" width="12.6640625" style="84" bestFit="1" customWidth="1"/>
    <col min="12803" max="12803" width="7.33203125" style="84" bestFit="1" customWidth="1"/>
    <col min="12804" max="12804" width="10.6640625" style="84" bestFit="1" customWidth="1"/>
    <col min="12805" max="12805" width="14.5546875" style="84" bestFit="1" customWidth="1"/>
    <col min="12806" max="12806" width="16.6640625" style="84" bestFit="1" customWidth="1"/>
    <col min="12807" max="12807" width="18.44140625" style="84" bestFit="1" customWidth="1"/>
    <col min="12808" max="13056" width="22.88671875" style="84"/>
    <col min="13057" max="13057" width="22.6640625" style="84" bestFit="1" customWidth="1"/>
    <col min="13058" max="13058" width="12.6640625" style="84" bestFit="1" customWidth="1"/>
    <col min="13059" max="13059" width="7.33203125" style="84" bestFit="1" customWidth="1"/>
    <col min="13060" max="13060" width="10.6640625" style="84" bestFit="1" customWidth="1"/>
    <col min="13061" max="13061" width="14.5546875" style="84" bestFit="1" customWidth="1"/>
    <col min="13062" max="13062" width="16.6640625" style="84" bestFit="1" customWidth="1"/>
    <col min="13063" max="13063" width="18.44140625" style="84" bestFit="1" customWidth="1"/>
    <col min="13064" max="13312" width="22.88671875" style="84"/>
    <col min="13313" max="13313" width="22.6640625" style="84" bestFit="1" customWidth="1"/>
    <col min="13314" max="13314" width="12.6640625" style="84" bestFit="1" customWidth="1"/>
    <col min="13315" max="13315" width="7.33203125" style="84" bestFit="1" customWidth="1"/>
    <col min="13316" max="13316" width="10.6640625" style="84" bestFit="1" customWidth="1"/>
    <col min="13317" max="13317" width="14.5546875" style="84" bestFit="1" customWidth="1"/>
    <col min="13318" max="13318" width="16.6640625" style="84" bestFit="1" customWidth="1"/>
    <col min="13319" max="13319" width="18.44140625" style="84" bestFit="1" customWidth="1"/>
    <col min="13320" max="13568" width="22.88671875" style="84"/>
    <col min="13569" max="13569" width="22.6640625" style="84" bestFit="1" customWidth="1"/>
    <col min="13570" max="13570" width="12.6640625" style="84" bestFit="1" customWidth="1"/>
    <col min="13571" max="13571" width="7.33203125" style="84" bestFit="1" customWidth="1"/>
    <col min="13572" max="13572" width="10.6640625" style="84" bestFit="1" customWidth="1"/>
    <col min="13573" max="13573" width="14.5546875" style="84" bestFit="1" customWidth="1"/>
    <col min="13574" max="13574" width="16.6640625" style="84" bestFit="1" customWidth="1"/>
    <col min="13575" max="13575" width="18.44140625" style="84" bestFit="1" customWidth="1"/>
    <col min="13576" max="13824" width="22.88671875" style="84"/>
    <col min="13825" max="13825" width="22.6640625" style="84" bestFit="1" customWidth="1"/>
    <col min="13826" max="13826" width="12.6640625" style="84" bestFit="1" customWidth="1"/>
    <col min="13827" max="13827" width="7.33203125" style="84" bestFit="1" customWidth="1"/>
    <col min="13828" max="13828" width="10.6640625" style="84" bestFit="1" customWidth="1"/>
    <col min="13829" max="13829" width="14.5546875" style="84" bestFit="1" customWidth="1"/>
    <col min="13830" max="13830" width="16.6640625" style="84" bestFit="1" customWidth="1"/>
    <col min="13831" max="13831" width="18.44140625" style="84" bestFit="1" customWidth="1"/>
    <col min="13832" max="14080" width="22.88671875" style="84"/>
    <col min="14081" max="14081" width="22.6640625" style="84" bestFit="1" customWidth="1"/>
    <col min="14082" max="14082" width="12.6640625" style="84" bestFit="1" customWidth="1"/>
    <col min="14083" max="14083" width="7.33203125" style="84" bestFit="1" customWidth="1"/>
    <col min="14084" max="14084" width="10.6640625" style="84" bestFit="1" customWidth="1"/>
    <col min="14085" max="14085" width="14.5546875" style="84" bestFit="1" customWidth="1"/>
    <col min="14086" max="14086" width="16.6640625" style="84" bestFit="1" customWidth="1"/>
    <col min="14087" max="14087" width="18.44140625" style="84" bestFit="1" customWidth="1"/>
    <col min="14088" max="14336" width="22.88671875" style="84"/>
    <col min="14337" max="14337" width="22.6640625" style="84" bestFit="1" customWidth="1"/>
    <col min="14338" max="14338" width="12.6640625" style="84" bestFit="1" customWidth="1"/>
    <col min="14339" max="14339" width="7.33203125" style="84" bestFit="1" customWidth="1"/>
    <col min="14340" max="14340" width="10.6640625" style="84" bestFit="1" customWidth="1"/>
    <col min="14341" max="14341" width="14.5546875" style="84" bestFit="1" customWidth="1"/>
    <col min="14342" max="14342" width="16.6640625" style="84" bestFit="1" customWidth="1"/>
    <col min="14343" max="14343" width="18.44140625" style="84" bestFit="1" customWidth="1"/>
    <col min="14344" max="14592" width="22.88671875" style="84"/>
    <col min="14593" max="14593" width="22.6640625" style="84" bestFit="1" customWidth="1"/>
    <col min="14594" max="14594" width="12.6640625" style="84" bestFit="1" customWidth="1"/>
    <col min="14595" max="14595" width="7.33203125" style="84" bestFit="1" customWidth="1"/>
    <col min="14596" max="14596" width="10.6640625" style="84" bestFit="1" customWidth="1"/>
    <col min="14597" max="14597" width="14.5546875" style="84" bestFit="1" customWidth="1"/>
    <col min="14598" max="14598" width="16.6640625" style="84" bestFit="1" customWidth="1"/>
    <col min="14599" max="14599" width="18.44140625" style="84" bestFit="1" customWidth="1"/>
    <col min="14600" max="14848" width="22.88671875" style="84"/>
    <col min="14849" max="14849" width="22.6640625" style="84" bestFit="1" customWidth="1"/>
    <col min="14850" max="14850" width="12.6640625" style="84" bestFit="1" customWidth="1"/>
    <col min="14851" max="14851" width="7.33203125" style="84" bestFit="1" customWidth="1"/>
    <col min="14852" max="14852" width="10.6640625" style="84" bestFit="1" customWidth="1"/>
    <col min="14853" max="14853" width="14.5546875" style="84" bestFit="1" customWidth="1"/>
    <col min="14854" max="14854" width="16.6640625" style="84" bestFit="1" customWidth="1"/>
    <col min="14855" max="14855" width="18.44140625" style="84" bestFit="1" customWidth="1"/>
    <col min="14856" max="15104" width="22.88671875" style="84"/>
    <col min="15105" max="15105" width="22.6640625" style="84" bestFit="1" customWidth="1"/>
    <col min="15106" max="15106" width="12.6640625" style="84" bestFit="1" customWidth="1"/>
    <col min="15107" max="15107" width="7.33203125" style="84" bestFit="1" customWidth="1"/>
    <col min="15108" max="15108" width="10.6640625" style="84" bestFit="1" customWidth="1"/>
    <col min="15109" max="15109" width="14.5546875" style="84" bestFit="1" customWidth="1"/>
    <col min="15110" max="15110" width="16.6640625" style="84" bestFit="1" customWidth="1"/>
    <col min="15111" max="15111" width="18.44140625" style="84" bestFit="1" customWidth="1"/>
    <col min="15112" max="15360" width="22.88671875" style="84"/>
    <col min="15361" max="15361" width="22.6640625" style="84" bestFit="1" customWidth="1"/>
    <col min="15362" max="15362" width="12.6640625" style="84" bestFit="1" customWidth="1"/>
    <col min="15363" max="15363" width="7.33203125" style="84" bestFit="1" customWidth="1"/>
    <col min="15364" max="15364" width="10.6640625" style="84" bestFit="1" customWidth="1"/>
    <col min="15365" max="15365" width="14.5546875" style="84" bestFit="1" customWidth="1"/>
    <col min="15366" max="15366" width="16.6640625" style="84" bestFit="1" customWidth="1"/>
    <col min="15367" max="15367" width="18.44140625" style="84" bestFit="1" customWidth="1"/>
    <col min="15368" max="15616" width="22.88671875" style="84"/>
    <col min="15617" max="15617" width="22.6640625" style="84" bestFit="1" customWidth="1"/>
    <col min="15618" max="15618" width="12.6640625" style="84" bestFit="1" customWidth="1"/>
    <col min="15619" max="15619" width="7.33203125" style="84" bestFit="1" customWidth="1"/>
    <col min="15620" max="15620" width="10.6640625" style="84" bestFit="1" customWidth="1"/>
    <col min="15621" max="15621" width="14.5546875" style="84" bestFit="1" customWidth="1"/>
    <col min="15622" max="15622" width="16.6640625" style="84" bestFit="1" customWidth="1"/>
    <col min="15623" max="15623" width="18.44140625" style="84" bestFit="1" customWidth="1"/>
    <col min="15624" max="15872" width="22.88671875" style="84"/>
    <col min="15873" max="15873" width="22.6640625" style="84" bestFit="1" customWidth="1"/>
    <col min="15874" max="15874" width="12.6640625" style="84" bestFit="1" customWidth="1"/>
    <col min="15875" max="15875" width="7.33203125" style="84" bestFit="1" customWidth="1"/>
    <col min="15876" max="15876" width="10.6640625" style="84" bestFit="1" customWidth="1"/>
    <col min="15877" max="15877" width="14.5546875" style="84" bestFit="1" customWidth="1"/>
    <col min="15878" max="15878" width="16.6640625" style="84" bestFit="1" customWidth="1"/>
    <col min="15879" max="15879" width="18.44140625" style="84" bestFit="1" customWidth="1"/>
    <col min="15880" max="16128" width="22.88671875" style="84"/>
    <col min="16129" max="16129" width="22.6640625" style="84" bestFit="1" customWidth="1"/>
    <col min="16130" max="16130" width="12.6640625" style="84" bestFit="1" customWidth="1"/>
    <col min="16131" max="16131" width="7.33203125" style="84" bestFit="1" customWidth="1"/>
    <col min="16132" max="16132" width="10.6640625" style="84" bestFit="1" customWidth="1"/>
    <col min="16133" max="16133" width="14.5546875" style="84" bestFit="1" customWidth="1"/>
    <col min="16134" max="16134" width="16.6640625" style="84" bestFit="1" customWidth="1"/>
    <col min="16135" max="16135" width="18.44140625" style="84" bestFit="1" customWidth="1"/>
    <col min="16136" max="16384" width="22.88671875" style="84"/>
  </cols>
  <sheetData>
    <row r="1" spans="1:7" x14ac:dyDescent="0.25">
      <c r="A1" s="184" t="s">
        <v>135</v>
      </c>
      <c r="B1" s="185">
        <v>300000</v>
      </c>
    </row>
    <row r="2" spans="1:7" x14ac:dyDescent="0.25">
      <c r="A2" s="184" t="s">
        <v>136</v>
      </c>
      <c r="B2" s="186">
        <v>5.2499999999999998E-2</v>
      </c>
    </row>
    <row r="3" spans="1:7" x14ac:dyDescent="0.25">
      <c r="A3" s="184" t="s">
        <v>137</v>
      </c>
      <c r="B3" s="188">
        <f>B2/B5</f>
        <v>4.3749999999999995E-3</v>
      </c>
    </row>
    <row r="4" spans="1:7" x14ac:dyDescent="0.25">
      <c r="A4" s="184" t="s">
        <v>10</v>
      </c>
      <c r="B4" s="187">
        <v>30</v>
      </c>
    </row>
    <row r="5" spans="1:7" ht="26.4" x14ac:dyDescent="0.25">
      <c r="A5" s="184" t="s">
        <v>138</v>
      </c>
      <c r="B5" s="187">
        <v>12</v>
      </c>
    </row>
    <row r="6" spans="1:7" x14ac:dyDescent="0.25">
      <c r="A6" s="184" t="s">
        <v>12</v>
      </c>
      <c r="B6" s="188">
        <f>B4*B5</f>
        <v>360</v>
      </c>
    </row>
    <row r="7" spans="1:7" x14ac:dyDescent="0.25">
      <c r="A7" s="184" t="s">
        <v>145</v>
      </c>
      <c r="B7" s="192">
        <f>PMT(B3,B6,B1)</f>
        <v>-1656.611106425695</v>
      </c>
    </row>
    <row r="8" spans="1:7" s="88" customFormat="1" ht="14.4" x14ac:dyDescent="0.3">
      <c r="C8"/>
      <c r="D8"/>
      <c r="E8"/>
      <c r="F8"/>
      <c r="G8"/>
    </row>
    <row r="9" spans="1:7" ht="28.8" x14ac:dyDescent="0.3">
      <c r="A9" s="194" t="s">
        <v>48</v>
      </c>
      <c r="B9" s="194" t="s">
        <v>145</v>
      </c>
      <c r="C9" s="11" t="s">
        <v>133</v>
      </c>
      <c r="D9" s="11" t="s">
        <v>235</v>
      </c>
      <c r="E9" s="11" t="s">
        <v>146</v>
      </c>
      <c r="F9"/>
      <c r="G9"/>
    </row>
    <row r="10" spans="1:7" ht="14.4" x14ac:dyDescent="0.3">
      <c r="A10" s="86">
        <v>0</v>
      </c>
      <c r="B10" s="86"/>
      <c r="C10" s="1"/>
      <c r="D10" s="1"/>
      <c r="E10" s="13">
        <f>B1</f>
        <v>300000</v>
      </c>
      <c r="F10"/>
      <c r="G10"/>
    </row>
    <row r="11" spans="1:7" ht="14.4" x14ac:dyDescent="0.3">
      <c r="A11" s="86">
        <v>1</v>
      </c>
      <c r="B11" s="192">
        <f>-$B$7</f>
        <v>1656.611106425695</v>
      </c>
      <c r="C11" s="135">
        <f>E10*$B$3</f>
        <v>1312.4999999999998</v>
      </c>
      <c r="D11" s="135">
        <f>B11-C11</f>
        <v>344.1111064256952</v>
      </c>
      <c r="E11" s="18">
        <f>E10-D11</f>
        <v>299655.8888935743</v>
      </c>
      <c r="F11"/>
      <c r="G11"/>
    </row>
    <row r="12" spans="1:7" ht="14.4" x14ac:dyDescent="0.3">
      <c r="A12" s="86">
        <v>2</v>
      </c>
      <c r="B12" s="192">
        <f t="shared" ref="B12:B75" si="0">-$B$7</f>
        <v>1656.611106425695</v>
      </c>
      <c r="C12" s="135">
        <f t="shared" ref="C12:C75" si="1">E11*$B$3</f>
        <v>1310.9945139093875</v>
      </c>
      <c r="D12" s="135">
        <f t="shared" ref="D12:D75" si="2">B12-C12</f>
        <v>345.61659251630749</v>
      </c>
      <c r="E12" s="18">
        <f t="shared" ref="E12:E75" si="3">E11-D12</f>
        <v>299310.27230105799</v>
      </c>
      <c r="F12"/>
      <c r="G12"/>
    </row>
    <row r="13" spans="1:7" ht="14.4" x14ac:dyDescent="0.3">
      <c r="A13" s="86">
        <v>3</v>
      </c>
      <c r="B13" s="192">
        <f t="shared" si="0"/>
        <v>1656.611106425695</v>
      </c>
      <c r="C13" s="135">
        <f t="shared" si="1"/>
        <v>1309.4824413171286</v>
      </c>
      <c r="D13" s="135">
        <f t="shared" si="2"/>
        <v>347.12866510856634</v>
      </c>
      <c r="E13" s="18">
        <f t="shared" si="3"/>
        <v>298963.14363594941</v>
      </c>
      <c r="F13"/>
      <c r="G13"/>
    </row>
    <row r="14" spans="1:7" ht="14.4" x14ac:dyDescent="0.3">
      <c r="A14" s="86">
        <v>4</v>
      </c>
      <c r="B14" s="192">
        <f t="shared" si="0"/>
        <v>1656.611106425695</v>
      </c>
      <c r="C14" s="135">
        <f t="shared" si="1"/>
        <v>1307.9637534072785</v>
      </c>
      <c r="D14" s="135">
        <f t="shared" si="2"/>
        <v>348.64735301841642</v>
      </c>
      <c r="E14" s="18">
        <f t="shared" si="3"/>
        <v>298614.49628293101</v>
      </c>
      <c r="F14"/>
      <c r="G14"/>
    </row>
    <row r="15" spans="1:7" ht="14.4" x14ac:dyDescent="0.3">
      <c r="A15" s="86">
        <v>5</v>
      </c>
      <c r="B15" s="192">
        <f t="shared" si="0"/>
        <v>1656.611106425695</v>
      </c>
      <c r="C15" s="135">
        <f t="shared" si="1"/>
        <v>1306.4384212378229</v>
      </c>
      <c r="D15" s="135">
        <f t="shared" si="2"/>
        <v>350.17268518787205</v>
      </c>
      <c r="E15" s="18">
        <f t="shared" si="3"/>
        <v>298264.32359774312</v>
      </c>
      <c r="F15"/>
      <c r="G15"/>
    </row>
    <row r="16" spans="1:7" ht="14.4" x14ac:dyDescent="0.3">
      <c r="A16" s="86">
        <v>6</v>
      </c>
      <c r="B16" s="192">
        <f t="shared" si="0"/>
        <v>1656.611106425695</v>
      </c>
      <c r="C16" s="135">
        <f t="shared" si="1"/>
        <v>1304.906415740126</v>
      </c>
      <c r="D16" s="135">
        <f t="shared" si="2"/>
        <v>351.70469068556895</v>
      </c>
      <c r="E16" s="18">
        <f t="shared" si="3"/>
        <v>297912.61890705756</v>
      </c>
      <c r="F16"/>
      <c r="G16"/>
    </row>
    <row r="17" spans="1:7" ht="14.4" x14ac:dyDescent="0.3">
      <c r="A17" s="86">
        <v>7</v>
      </c>
      <c r="B17" s="192">
        <f t="shared" si="0"/>
        <v>1656.611106425695</v>
      </c>
      <c r="C17" s="135">
        <f t="shared" si="1"/>
        <v>1303.3677077183768</v>
      </c>
      <c r="D17" s="135">
        <f t="shared" si="2"/>
        <v>353.24339870731819</v>
      </c>
      <c r="E17" s="18">
        <f t="shared" si="3"/>
        <v>297559.37550835026</v>
      </c>
      <c r="F17"/>
      <c r="G17"/>
    </row>
    <row r="18" spans="1:7" ht="14.4" x14ac:dyDescent="0.3">
      <c r="A18" s="86">
        <v>8</v>
      </c>
      <c r="B18" s="192">
        <f t="shared" si="0"/>
        <v>1656.611106425695</v>
      </c>
      <c r="C18" s="135">
        <f t="shared" si="1"/>
        <v>1301.8222678490322</v>
      </c>
      <c r="D18" s="135">
        <f t="shared" si="2"/>
        <v>354.78883857666278</v>
      </c>
      <c r="E18" s="18">
        <f t="shared" si="3"/>
        <v>297204.58666977362</v>
      </c>
      <c r="F18"/>
      <c r="G18"/>
    </row>
    <row r="19" spans="1:7" ht="14.4" x14ac:dyDescent="0.3">
      <c r="A19" s="86">
        <v>9</v>
      </c>
      <c r="B19" s="192">
        <f t="shared" si="0"/>
        <v>1656.611106425695</v>
      </c>
      <c r="C19" s="135">
        <f t="shared" si="1"/>
        <v>1300.2700666802596</v>
      </c>
      <c r="D19" s="135">
        <f t="shared" si="2"/>
        <v>356.34103974543541</v>
      </c>
      <c r="E19" s="18">
        <f t="shared" si="3"/>
        <v>296848.24563002819</v>
      </c>
      <c r="F19"/>
      <c r="G19"/>
    </row>
    <row r="20" spans="1:7" ht="14.4" x14ac:dyDescent="0.3">
      <c r="A20" s="86">
        <v>10</v>
      </c>
      <c r="B20" s="192">
        <f t="shared" si="0"/>
        <v>1656.611106425695</v>
      </c>
      <c r="C20" s="135">
        <f t="shared" si="1"/>
        <v>1298.7110746313731</v>
      </c>
      <c r="D20" s="135">
        <f t="shared" si="2"/>
        <v>357.90003179432188</v>
      </c>
      <c r="E20" s="18">
        <f t="shared" si="3"/>
        <v>296490.34559823386</v>
      </c>
      <c r="F20"/>
      <c r="G20"/>
    </row>
    <row r="21" spans="1:7" ht="14.4" x14ac:dyDescent="0.3">
      <c r="A21" s="86">
        <v>11</v>
      </c>
      <c r="B21" s="192">
        <f t="shared" si="0"/>
        <v>1656.611106425695</v>
      </c>
      <c r="C21" s="135">
        <f t="shared" si="1"/>
        <v>1297.1452619922729</v>
      </c>
      <c r="D21" s="135">
        <f t="shared" si="2"/>
        <v>359.46584443342203</v>
      </c>
      <c r="E21" s="18">
        <f t="shared" si="3"/>
        <v>296130.87975380046</v>
      </c>
      <c r="F21"/>
      <c r="G21"/>
    </row>
    <row r="22" spans="1:7" ht="14.4" x14ac:dyDescent="0.3">
      <c r="A22" s="86">
        <v>12</v>
      </c>
      <c r="B22" s="192">
        <f t="shared" si="0"/>
        <v>1656.611106425695</v>
      </c>
      <c r="C22" s="135">
        <f t="shared" si="1"/>
        <v>1295.572598922877</v>
      </c>
      <c r="D22" s="135">
        <f t="shared" si="2"/>
        <v>361.03850750281799</v>
      </c>
      <c r="E22" s="18">
        <f t="shared" si="3"/>
        <v>295769.84124629764</v>
      </c>
      <c r="F22"/>
      <c r="G22"/>
    </row>
    <row r="23" spans="1:7" ht="14.4" x14ac:dyDescent="0.3">
      <c r="A23" s="86">
        <v>13</v>
      </c>
      <c r="B23" s="192">
        <f t="shared" si="0"/>
        <v>1656.611106425695</v>
      </c>
      <c r="C23" s="135">
        <f t="shared" si="1"/>
        <v>1293.993055452552</v>
      </c>
      <c r="D23" s="135">
        <f t="shared" si="2"/>
        <v>362.618050973143</v>
      </c>
      <c r="E23" s="18">
        <f t="shared" si="3"/>
        <v>295407.22319532448</v>
      </c>
      <c r="F23"/>
      <c r="G23"/>
    </row>
    <row r="24" spans="1:7" ht="14.4" x14ac:dyDescent="0.3">
      <c r="A24" s="86">
        <v>14</v>
      </c>
      <c r="B24" s="192">
        <f t="shared" si="0"/>
        <v>1656.611106425695</v>
      </c>
      <c r="C24" s="135">
        <f t="shared" si="1"/>
        <v>1292.4066014795444</v>
      </c>
      <c r="D24" s="135">
        <f t="shared" si="2"/>
        <v>364.20450494615056</v>
      </c>
      <c r="E24" s="18">
        <f t="shared" si="3"/>
        <v>295043.01869037835</v>
      </c>
      <c r="F24"/>
      <c r="G24"/>
    </row>
    <row r="25" spans="1:7" ht="14.4" x14ac:dyDescent="0.3">
      <c r="A25" s="86">
        <v>15</v>
      </c>
      <c r="B25" s="192">
        <f t="shared" si="0"/>
        <v>1656.611106425695</v>
      </c>
      <c r="C25" s="135">
        <f t="shared" si="1"/>
        <v>1290.813206770405</v>
      </c>
      <c r="D25" s="135">
        <f t="shared" si="2"/>
        <v>365.79789965528994</v>
      </c>
      <c r="E25" s="18">
        <f t="shared" si="3"/>
        <v>294677.22079072305</v>
      </c>
      <c r="F25"/>
      <c r="G25"/>
    </row>
    <row r="26" spans="1:7" ht="14.4" x14ac:dyDescent="0.3">
      <c r="A26" s="86">
        <v>16</v>
      </c>
      <c r="B26" s="192">
        <f t="shared" si="0"/>
        <v>1656.611106425695</v>
      </c>
      <c r="C26" s="135">
        <f t="shared" si="1"/>
        <v>1289.2128409594131</v>
      </c>
      <c r="D26" s="135">
        <f t="shared" si="2"/>
        <v>367.39826546628183</v>
      </c>
      <c r="E26" s="18">
        <f t="shared" si="3"/>
        <v>294309.82252525678</v>
      </c>
      <c r="F26"/>
      <c r="G26"/>
    </row>
    <row r="27" spans="1:7" ht="14.4" x14ac:dyDescent="0.3">
      <c r="A27" s="86">
        <v>17</v>
      </c>
      <c r="B27" s="192">
        <f t="shared" si="0"/>
        <v>1656.611106425695</v>
      </c>
      <c r="C27" s="135">
        <f t="shared" si="1"/>
        <v>1287.6054735479984</v>
      </c>
      <c r="D27" s="135">
        <f t="shared" si="2"/>
        <v>369.0056328776966</v>
      </c>
      <c r="E27" s="18">
        <f t="shared" si="3"/>
        <v>293940.81689237908</v>
      </c>
      <c r="F27"/>
      <c r="G27"/>
    </row>
    <row r="28" spans="1:7" ht="14.4" x14ac:dyDescent="0.3">
      <c r="A28" s="86">
        <v>18</v>
      </c>
      <c r="B28" s="192">
        <f t="shared" si="0"/>
        <v>1656.611106425695</v>
      </c>
      <c r="C28" s="135">
        <f t="shared" si="1"/>
        <v>1285.9910739041584</v>
      </c>
      <c r="D28" s="135">
        <f t="shared" si="2"/>
        <v>370.62003252153659</v>
      </c>
      <c r="E28" s="18">
        <f t="shared" si="3"/>
        <v>293570.19685985753</v>
      </c>
      <c r="F28"/>
      <c r="G28"/>
    </row>
    <row r="29" spans="1:7" ht="14.4" x14ac:dyDescent="0.3">
      <c r="A29" s="86">
        <v>19</v>
      </c>
      <c r="B29" s="192">
        <f t="shared" si="0"/>
        <v>1656.611106425695</v>
      </c>
      <c r="C29" s="135">
        <f t="shared" si="1"/>
        <v>1284.3696112618766</v>
      </c>
      <c r="D29" s="135">
        <f t="shared" si="2"/>
        <v>372.2414951638184</v>
      </c>
      <c r="E29" s="18">
        <f t="shared" si="3"/>
        <v>293197.95536469371</v>
      </c>
      <c r="F29"/>
      <c r="G29"/>
    </row>
    <row r="30" spans="1:7" ht="14.4" x14ac:dyDescent="0.3">
      <c r="A30" s="86">
        <v>20</v>
      </c>
      <c r="B30" s="192">
        <f t="shared" si="0"/>
        <v>1656.611106425695</v>
      </c>
      <c r="C30" s="135">
        <f t="shared" si="1"/>
        <v>1282.7410547205347</v>
      </c>
      <c r="D30" s="135">
        <f t="shared" si="2"/>
        <v>373.87005170516022</v>
      </c>
      <c r="E30" s="18">
        <f t="shared" si="3"/>
        <v>292824.08531298855</v>
      </c>
      <c r="F30"/>
      <c r="G30"/>
    </row>
    <row r="31" spans="1:7" ht="14.4" x14ac:dyDescent="0.3">
      <c r="A31" s="86">
        <v>21</v>
      </c>
      <c r="B31" s="192">
        <f t="shared" si="0"/>
        <v>1656.611106425695</v>
      </c>
      <c r="C31" s="135">
        <f t="shared" si="1"/>
        <v>1281.1053732443247</v>
      </c>
      <c r="D31" s="135">
        <f t="shared" si="2"/>
        <v>375.50573318137026</v>
      </c>
      <c r="E31" s="18">
        <f t="shared" si="3"/>
        <v>292448.57957980718</v>
      </c>
      <c r="F31"/>
      <c r="G31"/>
    </row>
    <row r="32" spans="1:7" ht="14.4" x14ac:dyDescent="0.3">
      <c r="A32" s="86">
        <v>22</v>
      </c>
      <c r="B32" s="192">
        <f t="shared" si="0"/>
        <v>1656.611106425695</v>
      </c>
      <c r="C32" s="135">
        <f t="shared" si="1"/>
        <v>1279.4625356616564</v>
      </c>
      <c r="D32" s="135">
        <f t="shared" si="2"/>
        <v>377.1485707640386</v>
      </c>
      <c r="E32" s="18">
        <f t="shared" si="3"/>
        <v>292071.43100904312</v>
      </c>
      <c r="F32"/>
      <c r="G32"/>
    </row>
    <row r="33" spans="1:7" ht="14.4" x14ac:dyDescent="0.3">
      <c r="A33" s="86">
        <v>23</v>
      </c>
      <c r="B33" s="192">
        <f t="shared" si="0"/>
        <v>1656.611106425695</v>
      </c>
      <c r="C33" s="135">
        <f t="shared" si="1"/>
        <v>1277.8125106645634</v>
      </c>
      <c r="D33" s="135">
        <f t="shared" si="2"/>
        <v>378.79859576113154</v>
      </c>
      <c r="E33" s="18">
        <f t="shared" si="3"/>
        <v>291692.632413282</v>
      </c>
      <c r="F33"/>
      <c r="G33"/>
    </row>
    <row r="34" spans="1:7" ht="14.4" x14ac:dyDescent="0.3">
      <c r="A34" s="86">
        <v>24</v>
      </c>
      <c r="B34" s="192">
        <f t="shared" si="0"/>
        <v>1656.611106425695</v>
      </c>
      <c r="C34" s="135">
        <f t="shared" si="1"/>
        <v>1276.1552668081085</v>
      </c>
      <c r="D34" s="135">
        <f t="shared" si="2"/>
        <v>380.45583961758643</v>
      </c>
      <c r="E34" s="18">
        <f t="shared" si="3"/>
        <v>291312.17657366442</v>
      </c>
      <c r="F34"/>
      <c r="G34"/>
    </row>
    <row r="35" spans="1:7" ht="14.4" x14ac:dyDescent="0.3">
      <c r="A35" s="86">
        <v>25</v>
      </c>
      <c r="B35" s="192">
        <f t="shared" si="0"/>
        <v>1656.611106425695</v>
      </c>
      <c r="C35" s="135">
        <f t="shared" si="1"/>
        <v>1274.4907725097817</v>
      </c>
      <c r="D35" s="135">
        <f t="shared" si="2"/>
        <v>382.12033391591331</v>
      </c>
      <c r="E35" s="18">
        <f t="shared" si="3"/>
        <v>290930.05623974849</v>
      </c>
      <c r="F35"/>
      <c r="G35"/>
    </row>
    <row r="36" spans="1:7" ht="14.4" x14ac:dyDescent="0.3">
      <c r="A36" s="86">
        <v>26</v>
      </c>
      <c r="B36" s="192">
        <f t="shared" si="0"/>
        <v>1656.611106425695</v>
      </c>
      <c r="C36" s="135">
        <f t="shared" si="1"/>
        <v>1272.8189960488994</v>
      </c>
      <c r="D36" s="135">
        <f t="shared" si="2"/>
        <v>383.79211037679556</v>
      </c>
      <c r="E36" s="18">
        <f t="shared" si="3"/>
        <v>290546.26412937167</v>
      </c>
      <c r="F36"/>
      <c r="G36"/>
    </row>
    <row r="37" spans="1:7" ht="14.4" x14ac:dyDescent="0.3">
      <c r="A37" s="86">
        <v>27</v>
      </c>
      <c r="B37" s="192">
        <f t="shared" si="0"/>
        <v>1656.611106425695</v>
      </c>
      <c r="C37" s="135">
        <f t="shared" si="1"/>
        <v>1271.1399055660008</v>
      </c>
      <c r="D37" s="135">
        <f t="shared" si="2"/>
        <v>385.47120085969414</v>
      </c>
      <c r="E37" s="18">
        <f t="shared" si="3"/>
        <v>290160.79292851198</v>
      </c>
      <c r="F37"/>
      <c r="G37"/>
    </row>
    <row r="38" spans="1:7" ht="14.4" x14ac:dyDescent="0.3">
      <c r="A38" s="86">
        <v>28</v>
      </c>
      <c r="B38" s="192">
        <f t="shared" si="0"/>
        <v>1656.611106425695</v>
      </c>
      <c r="C38" s="135">
        <f t="shared" si="1"/>
        <v>1269.4534690622397</v>
      </c>
      <c r="D38" s="135">
        <f t="shared" si="2"/>
        <v>387.15763736345525</v>
      </c>
      <c r="E38" s="18">
        <f t="shared" si="3"/>
        <v>289773.6352911485</v>
      </c>
      <c r="F38"/>
      <c r="G38"/>
    </row>
    <row r="39" spans="1:7" ht="14.4" x14ac:dyDescent="0.3">
      <c r="A39" s="86">
        <v>29</v>
      </c>
      <c r="B39" s="192">
        <f t="shared" si="0"/>
        <v>1656.611106425695</v>
      </c>
      <c r="C39" s="135">
        <f t="shared" si="1"/>
        <v>1267.7596543987745</v>
      </c>
      <c r="D39" s="135">
        <f t="shared" si="2"/>
        <v>388.85145202692047</v>
      </c>
      <c r="E39" s="18">
        <f t="shared" si="3"/>
        <v>289384.78383912158</v>
      </c>
      <c r="F39"/>
      <c r="G39"/>
    </row>
    <row r="40" spans="1:7" ht="14.4" x14ac:dyDescent="0.3">
      <c r="A40" s="86">
        <v>30</v>
      </c>
      <c r="B40" s="192">
        <f t="shared" si="0"/>
        <v>1656.611106425695</v>
      </c>
      <c r="C40" s="135">
        <f t="shared" si="1"/>
        <v>1266.0584292961569</v>
      </c>
      <c r="D40" s="135">
        <f t="shared" si="2"/>
        <v>390.5526771295381</v>
      </c>
      <c r="E40" s="18">
        <f t="shared" si="3"/>
        <v>288994.23116199207</v>
      </c>
      <c r="F40"/>
      <c r="G40"/>
    </row>
    <row r="41" spans="1:7" ht="14.4" x14ac:dyDescent="0.3">
      <c r="A41" s="86">
        <v>31</v>
      </c>
      <c r="B41" s="192">
        <f t="shared" si="0"/>
        <v>1656.611106425695</v>
      </c>
      <c r="C41" s="135">
        <f t="shared" si="1"/>
        <v>1264.3497613337152</v>
      </c>
      <c r="D41" s="135">
        <f t="shared" si="2"/>
        <v>392.26134509197982</v>
      </c>
      <c r="E41" s="18">
        <f t="shared" si="3"/>
        <v>288601.96981690009</v>
      </c>
      <c r="F41"/>
      <c r="G41"/>
    </row>
    <row r="42" spans="1:7" ht="14.4" x14ac:dyDescent="0.3">
      <c r="A42" s="86">
        <v>32</v>
      </c>
      <c r="B42" s="192">
        <f t="shared" si="0"/>
        <v>1656.611106425695</v>
      </c>
      <c r="C42" s="135">
        <f t="shared" si="1"/>
        <v>1262.6336179489379</v>
      </c>
      <c r="D42" s="135">
        <f t="shared" si="2"/>
        <v>393.97748847675712</v>
      </c>
      <c r="E42" s="18">
        <f t="shared" si="3"/>
        <v>288207.99232842331</v>
      </c>
      <c r="F42"/>
      <c r="G42"/>
    </row>
    <row r="43" spans="1:7" ht="14.4" x14ac:dyDescent="0.3">
      <c r="A43" s="86">
        <v>33</v>
      </c>
      <c r="B43" s="192">
        <f t="shared" si="0"/>
        <v>1656.611106425695</v>
      </c>
      <c r="C43" s="135">
        <f t="shared" si="1"/>
        <v>1260.9099664368518</v>
      </c>
      <c r="D43" s="135">
        <f t="shared" si="2"/>
        <v>395.70113998884312</v>
      </c>
      <c r="E43" s="18">
        <f t="shared" si="3"/>
        <v>287812.29118843446</v>
      </c>
      <c r="F43"/>
      <c r="G43"/>
    </row>
    <row r="44" spans="1:7" ht="14.4" x14ac:dyDescent="0.3">
      <c r="A44" s="86">
        <v>34</v>
      </c>
      <c r="B44" s="192">
        <f t="shared" si="0"/>
        <v>1656.611106425695</v>
      </c>
      <c r="C44" s="135">
        <f t="shared" si="1"/>
        <v>1259.1787739494007</v>
      </c>
      <c r="D44" s="135">
        <f t="shared" si="2"/>
        <v>397.43233247629428</v>
      </c>
      <c r="E44" s="18">
        <f t="shared" si="3"/>
        <v>287414.85885595815</v>
      </c>
      <c r="F44"/>
      <c r="G44"/>
    </row>
    <row r="45" spans="1:7" ht="14.4" x14ac:dyDescent="0.3">
      <c r="A45" s="86">
        <v>35</v>
      </c>
      <c r="B45" s="192">
        <f t="shared" si="0"/>
        <v>1656.611106425695</v>
      </c>
      <c r="C45" s="135">
        <f t="shared" si="1"/>
        <v>1257.4400074948169</v>
      </c>
      <c r="D45" s="135">
        <f t="shared" si="2"/>
        <v>399.17109893087809</v>
      </c>
      <c r="E45" s="18">
        <f t="shared" si="3"/>
        <v>287015.68775702728</v>
      </c>
      <c r="F45"/>
      <c r="G45"/>
    </row>
    <row r="46" spans="1:7" ht="14.4" x14ac:dyDescent="0.3">
      <c r="A46" s="86">
        <v>36</v>
      </c>
      <c r="B46" s="192">
        <f t="shared" si="0"/>
        <v>1656.611106425695</v>
      </c>
      <c r="C46" s="135">
        <f t="shared" si="1"/>
        <v>1255.6936339369943</v>
      </c>
      <c r="D46" s="135">
        <f t="shared" si="2"/>
        <v>400.9174724887007</v>
      </c>
      <c r="E46" s="18">
        <f t="shared" si="3"/>
        <v>286614.77028453856</v>
      </c>
      <c r="F46"/>
      <c r="G46"/>
    </row>
    <row r="47" spans="1:7" ht="14.4" x14ac:dyDescent="0.3">
      <c r="A47" s="86">
        <v>37</v>
      </c>
      <c r="B47" s="192">
        <f t="shared" si="0"/>
        <v>1656.611106425695</v>
      </c>
      <c r="C47" s="135">
        <f t="shared" si="1"/>
        <v>1253.939619994856</v>
      </c>
      <c r="D47" s="135">
        <f t="shared" si="2"/>
        <v>402.67148643083897</v>
      </c>
      <c r="E47" s="18">
        <f t="shared" si="3"/>
        <v>286212.09879810771</v>
      </c>
      <c r="F47"/>
      <c r="G47"/>
    </row>
    <row r="48" spans="1:7" ht="14.4" x14ac:dyDescent="0.3">
      <c r="A48" s="86">
        <v>38</v>
      </c>
      <c r="B48" s="192">
        <f t="shared" si="0"/>
        <v>1656.611106425695</v>
      </c>
      <c r="C48" s="135">
        <f t="shared" si="1"/>
        <v>1252.177932241721</v>
      </c>
      <c r="D48" s="135">
        <f t="shared" si="2"/>
        <v>404.43317418397396</v>
      </c>
      <c r="E48" s="18">
        <f t="shared" si="3"/>
        <v>285807.66562392371</v>
      </c>
      <c r="F48"/>
      <c r="G48"/>
    </row>
    <row r="49" spans="1:7" ht="14.4" x14ac:dyDescent="0.3">
      <c r="A49" s="86">
        <v>39</v>
      </c>
      <c r="B49" s="192">
        <f t="shared" si="0"/>
        <v>1656.611106425695</v>
      </c>
      <c r="C49" s="135">
        <f t="shared" si="1"/>
        <v>1250.408537104666</v>
      </c>
      <c r="D49" s="135">
        <f t="shared" si="2"/>
        <v>406.20256932102893</v>
      </c>
      <c r="E49" s="18">
        <f t="shared" si="3"/>
        <v>285401.46305460267</v>
      </c>
      <c r="F49"/>
      <c r="G49"/>
    </row>
    <row r="50" spans="1:7" ht="14.4" x14ac:dyDescent="0.3">
      <c r="A50" s="86">
        <v>40</v>
      </c>
      <c r="B50" s="192">
        <f t="shared" si="0"/>
        <v>1656.611106425695</v>
      </c>
      <c r="C50" s="135">
        <f t="shared" si="1"/>
        <v>1248.6314008638865</v>
      </c>
      <c r="D50" s="135">
        <f t="shared" si="2"/>
        <v>407.97970556180849</v>
      </c>
      <c r="E50" s="18">
        <f t="shared" si="3"/>
        <v>284993.48334904085</v>
      </c>
    </row>
    <row r="51" spans="1:7" ht="14.4" x14ac:dyDescent="0.3">
      <c r="A51" s="86">
        <v>41</v>
      </c>
      <c r="B51" s="192">
        <f t="shared" si="0"/>
        <v>1656.611106425695</v>
      </c>
      <c r="C51" s="135">
        <f t="shared" si="1"/>
        <v>1246.8464896520536</v>
      </c>
      <c r="D51" s="135">
        <f t="shared" si="2"/>
        <v>409.76461677364136</v>
      </c>
      <c r="E51" s="18">
        <f t="shared" si="3"/>
        <v>284583.71873226721</v>
      </c>
    </row>
    <row r="52" spans="1:7" ht="14.4" x14ac:dyDescent="0.3">
      <c r="A52" s="86">
        <v>42</v>
      </c>
      <c r="B52" s="192">
        <f t="shared" si="0"/>
        <v>1656.611106425695</v>
      </c>
      <c r="C52" s="135">
        <f t="shared" si="1"/>
        <v>1245.053769453669</v>
      </c>
      <c r="D52" s="135">
        <f t="shared" si="2"/>
        <v>411.55733697202595</v>
      </c>
      <c r="E52" s="18">
        <f t="shared" si="3"/>
        <v>284172.16139529517</v>
      </c>
    </row>
    <row r="53" spans="1:7" ht="14.4" x14ac:dyDescent="0.3">
      <c r="A53" s="86">
        <v>43</v>
      </c>
      <c r="B53" s="192">
        <f t="shared" si="0"/>
        <v>1656.611106425695</v>
      </c>
      <c r="C53" s="135">
        <f t="shared" si="1"/>
        <v>1243.2532061044162</v>
      </c>
      <c r="D53" s="135">
        <f t="shared" si="2"/>
        <v>413.35790032127875</v>
      </c>
      <c r="E53" s="18">
        <f t="shared" si="3"/>
        <v>283758.80349497392</v>
      </c>
    </row>
    <row r="54" spans="1:7" ht="14.4" x14ac:dyDescent="0.3">
      <c r="A54" s="86">
        <v>44</v>
      </c>
      <c r="B54" s="192">
        <f t="shared" si="0"/>
        <v>1656.611106425695</v>
      </c>
      <c r="C54" s="135">
        <f t="shared" si="1"/>
        <v>1241.4447652905108</v>
      </c>
      <c r="D54" s="135">
        <f t="shared" si="2"/>
        <v>415.16634113518421</v>
      </c>
      <c r="E54" s="18">
        <f t="shared" si="3"/>
        <v>283343.63715383876</v>
      </c>
    </row>
    <row r="55" spans="1:7" ht="14.4" x14ac:dyDescent="0.3">
      <c r="A55" s="86">
        <v>45</v>
      </c>
      <c r="B55" s="192">
        <f t="shared" si="0"/>
        <v>1656.611106425695</v>
      </c>
      <c r="C55" s="135">
        <f t="shared" si="1"/>
        <v>1239.6284125480445</v>
      </c>
      <c r="D55" s="135">
        <f t="shared" si="2"/>
        <v>416.98269387765049</v>
      </c>
      <c r="E55" s="18">
        <f t="shared" si="3"/>
        <v>282926.65445996111</v>
      </c>
    </row>
    <row r="56" spans="1:7" ht="14.4" x14ac:dyDescent="0.3">
      <c r="A56" s="86">
        <v>46</v>
      </c>
      <c r="B56" s="192">
        <f t="shared" si="0"/>
        <v>1656.611106425695</v>
      </c>
      <c r="C56" s="135">
        <f t="shared" si="1"/>
        <v>1237.8041132623298</v>
      </c>
      <c r="D56" s="135">
        <f t="shared" si="2"/>
        <v>418.80699316336518</v>
      </c>
      <c r="E56" s="18">
        <f t="shared" si="3"/>
        <v>282507.84746679774</v>
      </c>
    </row>
    <row r="57" spans="1:7" ht="14.4" x14ac:dyDescent="0.3">
      <c r="A57" s="86">
        <v>47</v>
      </c>
      <c r="B57" s="192">
        <f t="shared" si="0"/>
        <v>1656.611106425695</v>
      </c>
      <c r="C57" s="135">
        <f t="shared" si="1"/>
        <v>1235.9718326672401</v>
      </c>
      <c r="D57" s="135">
        <f t="shared" si="2"/>
        <v>420.63927375845492</v>
      </c>
      <c r="E57" s="18">
        <f t="shared" si="3"/>
        <v>282087.20819303929</v>
      </c>
    </row>
    <row r="58" spans="1:7" ht="14.4" x14ac:dyDescent="0.3">
      <c r="A58" s="86">
        <v>48</v>
      </c>
      <c r="B58" s="192">
        <f t="shared" si="0"/>
        <v>1656.611106425695</v>
      </c>
      <c r="C58" s="135">
        <f t="shared" si="1"/>
        <v>1234.1315358445468</v>
      </c>
      <c r="D58" s="135">
        <f t="shared" si="2"/>
        <v>422.47957058114821</v>
      </c>
      <c r="E58" s="18">
        <f t="shared" si="3"/>
        <v>281664.72862245812</v>
      </c>
    </row>
    <row r="59" spans="1:7" ht="14.4" x14ac:dyDescent="0.3">
      <c r="A59" s="86">
        <v>49</v>
      </c>
      <c r="B59" s="192">
        <f t="shared" si="0"/>
        <v>1656.611106425695</v>
      </c>
      <c r="C59" s="135">
        <f t="shared" si="1"/>
        <v>1232.2831877232541</v>
      </c>
      <c r="D59" s="135">
        <f t="shared" si="2"/>
        <v>424.32791870244091</v>
      </c>
      <c r="E59" s="18">
        <f t="shared" si="3"/>
        <v>281240.40070375567</v>
      </c>
    </row>
    <row r="60" spans="1:7" ht="14.4" x14ac:dyDescent="0.3">
      <c r="A60" s="86">
        <v>50</v>
      </c>
      <c r="B60" s="192">
        <f t="shared" si="0"/>
        <v>1656.611106425695</v>
      </c>
      <c r="C60" s="135">
        <f t="shared" si="1"/>
        <v>1230.4267530789309</v>
      </c>
      <c r="D60" s="135">
        <f t="shared" si="2"/>
        <v>426.18435334676406</v>
      </c>
      <c r="E60" s="18">
        <f t="shared" si="3"/>
        <v>280814.21635040891</v>
      </c>
    </row>
    <row r="61" spans="1:7" ht="14.4" x14ac:dyDescent="0.3">
      <c r="A61" s="86">
        <v>51</v>
      </c>
      <c r="B61" s="192">
        <f t="shared" si="0"/>
        <v>1656.611106425695</v>
      </c>
      <c r="C61" s="135">
        <f t="shared" si="1"/>
        <v>1228.5621965330388</v>
      </c>
      <c r="D61" s="135">
        <f t="shared" si="2"/>
        <v>428.04890989265618</v>
      </c>
      <c r="E61" s="18">
        <f t="shared" si="3"/>
        <v>280386.16744051623</v>
      </c>
    </row>
    <row r="62" spans="1:7" ht="14.4" x14ac:dyDescent="0.3">
      <c r="A62" s="86">
        <v>52</v>
      </c>
      <c r="B62" s="192">
        <f t="shared" si="0"/>
        <v>1656.611106425695</v>
      </c>
      <c r="C62" s="135">
        <f t="shared" si="1"/>
        <v>1226.6894825522584</v>
      </c>
      <c r="D62" s="135">
        <f t="shared" si="2"/>
        <v>429.9216238734366</v>
      </c>
      <c r="E62" s="18">
        <f t="shared" si="3"/>
        <v>279956.24581664283</v>
      </c>
    </row>
    <row r="63" spans="1:7" ht="14.4" x14ac:dyDescent="0.3">
      <c r="A63" s="86">
        <v>53</v>
      </c>
      <c r="B63" s="192">
        <f t="shared" si="0"/>
        <v>1656.611106425695</v>
      </c>
      <c r="C63" s="135">
        <f t="shared" si="1"/>
        <v>1224.8085754478122</v>
      </c>
      <c r="D63" s="135">
        <f t="shared" si="2"/>
        <v>431.80253097788272</v>
      </c>
      <c r="E63" s="18">
        <f t="shared" si="3"/>
        <v>279524.44328566495</v>
      </c>
    </row>
    <row r="64" spans="1:7" ht="14.4" x14ac:dyDescent="0.3">
      <c r="A64" s="86">
        <v>54</v>
      </c>
      <c r="B64" s="192">
        <f t="shared" si="0"/>
        <v>1656.611106425695</v>
      </c>
      <c r="C64" s="135">
        <f t="shared" si="1"/>
        <v>1222.9194393747841</v>
      </c>
      <c r="D64" s="135">
        <f t="shared" si="2"/>
        <v>433.69166705091084</v>
      </c>
      <c r="E64" s="18">
        <f t="shared" si="3"/>
        <v>279090.75161861401</v>
      </c>
    </row>
    <row r="65" spans="1:5" ht="14.4" x14ac:dyDescent="0.3">
      <c r="A65" s="86">
        <v>55</v>
      </c>
      <c r="B65" s="192">
        <f t="shared" si="0"/>
        <v>1656.611106425695</v>
      </c>
      <c r="C65" s="135">
        <f t="shared" si="1"/>
        <v>1221.0220383314361</v>
      </c>
      <c r="D65" s="135">
        <f t="shared" si="2"/>
        <v>435.58906809425889</v>
      </c>
      <c r="E65" s="18">
        <f t="shared" si="3"/>
        <v>278655.16255051974</v>
      </c>
    </row>
    <row r="66" spans="1:5" ht="14.4" x14ac:dyDescent="0.3">
      <c r="A66" s="86">
        <v>56</v>
      </c>
      <c r="B66" s="192">
        <f t="shared" si="0"/>
        <v>1656.611106425695</v>
      </c>
      <c r="C66" s="135">
        <f t="shared" si="1"/>
        <v>1219.1163361585238</v>
      </c>
      <c r="D66" s="135">
        <f t="shared" si="2"/>
        <v>437.49477026717113</v>
      </c>
      <c r="E66" s="18">
        <f t="shared" si="3"/>
        <v>278217.66778025258</v>
      </c>
    </row>
    <row r="67" spans="1:5" ht="14.4" x14ac:dyDescent="0.3">
      <c r="A67" s="86">
        <v>57</v>
      </c>
      <c r="B67" s="192">
        <f t="shared" si="0"/>
        <v>1656.611106425695</v>
      </c>
      <c r="C67" s="135">
        <f t="shared" si="1"/>
        <v>1217.202296538605</v>
      </c>
      <c r="D67" s="135">
        <f t="shared" si="2"/>
        <v>439.40880988709</v>
      </c>
      <c r="E67" s="18">
        <f t="shared" si="3"/>
        <v>277778.25897036551</v>
      </c>
    </row>
    <row r="68" spans="1:5" ht="14.4" x14ac:dyDescent="0.3">
      <c r="A68" s="86">
        <v>58</v>
      </c>
      <c r="B68" s="192">
        <f t="shared" si="0"/>
        <v>1656.611106425695</v>
      </c>
      <c r="C68" s="135">
        <f t="shared" si="1"/>
        <v>1215.279882995349</v>
      </c>
      <c r="D68" s="135">
        <f t="shared" si="2"/>
        <v>441.33122343034597</v>
      </c>
      <c r="E68" s="18">
        <f t="shared" si="3"/>
        <v>277336.92774693517</v>
      </c>
    </row>
    <row r="69" spans="1:5" ht="14.4" x14ac:dyDescent="0.3">
      <c r="A69" s="86">
        <v>59</v>
      </c>
      <c r="B69" s="192">
        <f t="shared" si="0"/>
        <v>1656.611106425695</v>
      </c>
      <c r="C69" s="135">
        <f t="shared" si="1"/>
        <v>1213.3490588928412</v>
      </c>
      <c r="D69" s="135">
        <f t="shared" si="2"/>
        <v>443.26204753285379</v>
      </c>
      <c r="E69" s="18">
        <f t="shared" si="3"/>
        <v>276893.66569940234</v>
      </c>
    </row>
    <row r="70" spans="1:5" ht="14.4" x14ac:dyDescent="0.3">
      <c r="A70" s="86">
        <v>60</v>
      </c>
      <c r="B70" s="192">
        <f t="shared" si="0"/>
        <v>1656.611106425695</v>
      </c>
      <c r="C70" s="135">
        <f t="shared" si="1"/>
        <v>1211.4097874348852</v>
      </c>
      <c r="D70" s="135">
        <f t="shared" si="2"/>
        <v>445.2013189908098</v>
      </c>
      <c r="E70" s="18">
        <f t="shared" si="3"/>
        <v>276448.46438041155</v>
      </c>
    </row>
    <row r="71" spans="1:5" ht="14.4" x14ac:dyDescent="0.3">
      <c r="A71" s="86">
        <v>61</v>
      </c>
      <c r="B71" s="192">
        <f t="shared" si="0"/>
        <v>1656.611106425695</v>
      </c>
      <c r="C71" s="135">
        <f t="shared" si="1"/>
        <v>1209.4620316643004</v>
      </c>
      <c r="D71" s="135">
        <f t="shared" si="2"/>
        <v>447.14907476139456</v>
      </c>
      <c r="E71" s="18">
        <f t="shared" si="3"/>
        <v>276001.31530565018</v>
      </c>
    </row>
    <row r="72" spans="1:5" ht="14.4" x14ac:dyDescent="0.3">
      <c r="A72" s="86">
        <v>62</v>
      </c>
      <c r="B72" s="192">
        <f t="shared" si="0"/>
        <v>1656.611106425695</v>
      </c>
      <c r="C72" s="135">
        <f t="shared" si="1"/>
        <v>1207.5057544622193</v>
      </c>
      <c r="D72" s="135">
        <f t="shared" si="2"/>
        <v>449.10535196347564</v>
      </c>
      <c r="E72" s="18">
        <f t="shared" si="3"/>
        <v>275552.20995368669</v>
      </c>
    </row>
    <row r="73" spans="1:5" ht="14.4" x14ac:dyDescent="0.3">
      <c r="A73" s="86">
        <v>63</v>
      </c>
      <c r="B73" s="192">
        <f t="shared" si="0"/>
        <v>1656.611106425695</v>
      </c>
      <c r="C73" s="135">
        <f t="shared" si="1"/>
        <v>1205.5409185473791</v>
      </c>
      <c r="D73" s="135">
        <f t="shared" si="2"/>
        <v>451.07018787831589</v>
      </c>
      <c r="E73" s="18">
        <f t="shared" si="3"/>
        <v>275101.13976580836</v>
      </c>
    </row>
    <row r="74" spans="1:5" ht="14.4" x14ac:dyDescent="0.3">
      <c r="A74" s="86">
        <v>64</v>
      </c>
      <c r="B74" s="192">
        <f t="shared" si="0"/>
        <v>1656.611106425695</v>
      </c>
      <c r="C74" s="135">
        <f t="shared" si="1"/>
        <v>1203.5674864754114</v>
      </c>
      <c r="D74" s="135">
        <f t="shared" si="2"/>
        <v>453.04361995028353</v>
      </c>
      <c r="E74" s="18">
        <f t="shared" si="3"/>
        <v>274648.09614585806</v>
      </c>
    </row>
    <row r="75" spans="1:5" ht="14.4" x14ac:dyDescent="0.3">
      <c r="A75" s="86">
        <v>65</v>
      </c>
      <c r="B75" s="192">
        <f t="shared" si="0"/>
        <v>1656.611106425695</v>
      </c>
      <c r="C75" s="135">
        <f t="shared" si="1"/>
        <v>1201.5854206381289</v>
      </c>
      <c r="D75" s="135">
        <f t="shared" si="2"/>
        <v>455.02568578756609</v>
      </c>
      <c r="E75" s="18">
        <f t="shared" si="3"/>
        <v>274193.07046007051</v>
      </c>
    </row>
    <row r="76" spans="1:5" ht="14.4" x14ac:dyDescent="0.3">
      <c r="A76" s="86">
        <v>66</v>
      </c>
      <c r="B76" s="192">
        <f t="shared" ref="B76:B139" si="4">-$B$7</f>
        <v>1656.611106425695</v>
      </c>
      <c r="C76" s="135">
        <f t="shared" ref="C76:C139" si="5">E75*$B$3</f>
        <v>1199.5946832628083</v>
      </c>
      <c r="D76" s="135">
        <f t="shared" ref="D76:D139" si="6">B76-C76</f>
        <v>457.01642316288667</v>
      </c>
      <c r="E76" s="18">
        <f t="shared" ref="E76:E139" si="7">E75-D76</f>
        <v>273736.05403690762</v>
      </c>
    </row>
    <row r="77" spans="1:5" ht="14.4" x14ac:dyDescent="0.3">
      <c r="A77" s="86">
        <v>67</v>
      </c>
      <c r="B77" s="192">
        <f t="shared" si="4"/>
        <v>1656.611106425695</v>
      </c>
      <c r="C77" s="135">
        <f t="shared" si="5"/>
        <v>1197.5952364114708</v>
      </c>
      <c r="D77" s="135">
        <f t="shared" si="6"/>
        <v>459.01587001422422</v>
      </c>
      <c r="E77" s="18">
        <f t="shared" si="7"/>
        <v>273277.03816689341</v>
      </c>
    </row>
    <row r="78" spans="1:5" ht="14.4" x14ac:dyDescent="0.3">
      <c r="A78" s="86">
        <v>68</v>
      </c>
      <c r="B78" s="192">
        <f t="shared" si="4"/>
        <v>1656.611106425695</v>
      </c>
      <c r="C78" s="135">
        <f t="shared" si="5"/>
        <v>1195.5870419801586</v>
      </c>
      <c r="D78" s="135">
        <f t="shared" si="6"/>
        <v>461.0240644455364</v>
      </c>
      <c r="E78" s="18">
        <f t="shared" si="7"/>
        <v>272816.01410244789</v>
      </c>
    </row>
    <row r="79" spans="1:5" ht="14.4" x14ac:dyDescent="0.3">
      <c r="A79" s="86">
        <v>69</v>
      </c>
      <c r="B79" s="192">
        <f t="shared" si="4"/>
        <v>1656.611106425695</v>
      </c>
      <c r="C79" s="135">
        <f t="shared" si="5"/>
        <v>1193.5700616982094</v>
      </c>
      <c r="D79" s="135">
        <f t="shared" si="6"/>
        <v>463.04104472748554</v>
      </c>
      <c r="E79" s="18">
        <f t="shared" si="7"/>
        <v>272352.9730577204</v>
      </c>
    </row>
    <row r="80" spans="1:5" ht="14.4" x14ac:dyDescent="0.3">
      <c r="A80" s="86">
        <v>70</v>
      </c>
      <c r="B80" s="192">
        <f t="shared" si="4"/>
        <v>1656.611106425695</v>
      </c>
      <c r="C80" s="135">
        <f t="shared" si="5"/>
        <v>1191.5442571275266</v>
      </c>
      <c r="D80" s="135">
        <f t="shared" si="6"/>
        <v>465.06684929816834</v>
      </c>
      <c r="E80" s="18">
        <f t="shared" si="7"/>
        <v>271887.90620842221</v>
      </c>
    </row>
    <row r="81" spans="1:5" ht="14.4" x14ac:dyDescent="0.3">
      <c r="A81" s="86">
        <v>71</v>
      </c>
      <c r="B81" s="192">
        <f t="shared" si="4"/>
        <v>1656.611106425695</v>
      </c>
      <c r="C81" s="135">
        <f t="shared" si="5"/>
        <v>1189.509589661847</v>
      </c>
      <c r="D81" s="135">
        <f t="shared" si="6"/>
        <v>467.10151676384794</v>
      </c>
      <c r="E81" s="18">
        <f t="shared" si="7"/>
        <v>271420.80469165836</v>
      </c>
    </row>
    <row r="82" spans="1:5" ht="14.4" x14ac:dyDescent="0.3">
      <c r="A82" s="86">
        <v>72</v>
      </c>
      <c r="B82" s="192">
        <f t="shared" si="4"/>
        <v>1656.611106425695</v>
      </c>
      <c r="C82" s="135">
        <f t="shared" si="5"/>
        <v>1187.4660205260052</v>
      </c>
      <c r="D82" s="135">
        <f t="shared" si="6"/>
        <v>469.14508589968978</v>
      </c>
      <c r="E82" s="18">
        <f t="shared" si="7"/>
        <v>270951.65960575867</v>
      </c>
    </row>
    <row r="83" spans="1:5" ht="14.4" x14ac:dyDescent="0.3">
      <c r="A83" s="86">
        <v>73</v>
      </c>
      <c r="B83" s="192">
        <f t="shared" si="4"/>
        <v>1656.611106425695</v>
      </c>
      <c r="C83" s="135">
        <f t="shared" si="5"/>
        <v>1185.413510775194</v>
      </c>
      <c r="D83" s="135">
        <f t="shared" si="6"/>
        <v>471.19759565050094</v>
      </c>
      <c r="E83" s="18">
        <f t="shared" si="7"/>
        <v>270480.46201010817</v>
      </c>
    </row>
    <row r="84" spans="1:5" ht="14.4" x14ac:dyDescent="0.3">
      <c r="A84" s="86">
        <v>74</v>
      </c>
      <c r="B84" s="192">
        <f t="shared" si="4"/>
        <v>1656.611106425695</v>
      </c>
      <c r="C84" s="135">
        <f t="shared" si="5"/>
        <v>1183.3520212942231</v>
      </c>
      <c r="D84" s="135">
        <f t="shared" si="6"/>
        <v>473.25908513147192</v>
      </c>
      <c r="E84" s="18">
        <f t="shared" si="7"/>
        <v>270007.20292497671</v>
      </c>
    </row>
    <row r="85" spans="1:5" ht="14.4" x14ac:dyDescent="0.3">
      <c r="A85" s="86">
        <v>75</v>
      </c>
      <c r="B85" s="192">
        <f t="shared" si="4"/>
        <v>1656.611106425695</v>
      </c>
      <c r="C85" s="135">
        <f t="shared" si="5"/>
        <v>1181.2815127967731</v>
      </c>
      <c r="D85" s="135">
        <f t="shared" si="6"/>
        <v>475.32959362892188</v>
      </c>
      <c r="E85" s="18">
        <f t="shared" si="7"/>
        <v>269531.87333134777</v>
      </c>
    </row>
    <row r="86" spans="1:5" ht="14.4" x14ac:dyDescent="0.3">
      <c r="A86" s="86">
        <v>76</v>
      </c>
      <c r="B86" s="192">
        <f t="shared" si="4"/>
        <v>1656.611106425695</v>
      </c>
      <c r="C86" s="135">
        <f t="shared" si="5"/>
        <v>1179.2019458246464</v>
      </c>
      <c r="D86" s="135">
        <f t="shared" si="6"/>
        <v>477.4091606010486</v>
      </c>
      <c r="E86" s="18">
        <f t="shared" si="7"/>
        <v>269054.46417074674</v>
      </c>
    </row>
    <row r="87" spans="1:5" ht="14.4" x14ac:dyDescent="0.3">
      <c r="A87" s="86">
        <v>77</v>
      </c>
      <c r="B87" s="192">
        <f t="shared" si="4"/>
        <v>1656.611106425695</v>
      </c>
      <c r="C87" s="135">
        <f t="shared" si="5"/>
        <v>1177.1132807470169</v>
      </c>
      <c r="D87" s="135">
        <f t="shared" si="6"/>
        <v>479.49782567867805</v>
      </c>
      <c r="E87" s="18">
        <f t="shared" si="7"/>
        <v>268574.96634506807</v>
      </c>
    </row>
    <row r="88" spans="1:5" ht="14.4" x14ac:dyDescent="0.3">
      <c r="A88" s="86">
        <v>78</v>
      </c>
      <c r="B88" s="192">
        <f t="shared" si="4"/>
        <v>1656.611106425695</v>
      </c>
      <c r="C88" s="135">
        <f t="shared" si="5"/>
        <v>1175.0154777596726</v>
      </c>
      <c r="D88" s="135">
        <f t="shared" si="6"/>
        <v>481.59562866602232</v>
      </c>
      <c r="E88" s="18">
        <f t="shared" si="7"/>
        <v>268093.37071640202</v>
      </c>
    </row>
    <row r="89" spans="1:5" ht="14.4" x14ac:dyDescent="0.3">
      <c r="A89" s="86">
        <v>79</v>
      </c>
      <c r="B89" s="192">
        <f t="shared" si="4"/>
        <v>1656.611106425695</v>
      </c>
      <c r="C89" s="135">
        <f t="shared" si="5"/>
        <v>1172.9084968842587</v>
      </c>
      <c r="D89" s="135">
        <f t="shared" si="6"/>
        <v>483.70260954143623</v>
      </c>
      <c r="E89" s="18">
        <f t="shared" si="7"/>
        <v>267609.6681068606</v>
      </c>
    </row>
    <row r="90" spans="1:5" ht="14.4" x14ac:dyDescent="0.3">
      <c r="A90" s="86">
        <v>80</v>
      </c>
      <c r="B90" s="192">
        <f t="shared" si="4"/>
        <v>1656.611106425695</v>
      </c>
      <c r="C90" s="135">
        <f t="shared" si="5"/>
        <v>1170.792297967515</v>
      </c>
      <c r="D90" s="135">
        <f t="shared" si="6"/>
        <v>485.81880845818</v>
      </c>
      <c r="E90" s="18">
        <f t="shared" si="7"/>
        <v>267123.84929840243</v>
      </c>
    </row>
    <row r="91" spans="1:5" ht="14.4" x14ac:dyDescent="0.3">
      <c r="A91" s="86">
        <v>81</v>
      </c>
      <c r="B91" s="192">
        <f t="shared" si="4"/>
        <v>1656.611106425695</v>
      </c>
      <c r="C91" s="135">
        <f t="shared" si="5"/>
        <v>1168.6668406805106</v>
      </c>
      <c r="D91" s="135">
        <f t="shared" si="6"/>
        <v>487.94426574518434</v>
      </c>
      <c r="E91" s="18">
        <f t="shared" si="7"/>
        <v>266635.90503265726</v>
      </c>
    </row>
    <row r="92" spans="1:5" ht="14.4" x14ac:dyDescent="0.3">
      <c r="A92" s="86">
        <v>82</v>
      </c>
      <c r="B92" s="192">
        <f t="shared" si="4"/>
        <v>1656.611106425695</v>
      </c>
      <c r="C92" s="135">
        <f t="shared" si="5"/>
        <v>1166.5320845178753</v>
      </c>
      <c r="D92" s="135">
        <f t="shared" si="6"/>
        <v>490.07902190781965</v>
      </c>
      <c r="E92" s="18">
        <f t="shared" si="7"/>
        <v>266145.82601074944</v>
      </c>
    </row>
    <row r="93" spans="1:5" ht="14.4" x14ac:dyDescent="0.3">
      <c r="A93" s="86">
        <v>83</v>
      </c>
      <c r="B93" s="192">
        <f t="shared" si="4"/>
        <v>1656.611106425695</v>
      </c>
      <c r="C93" s="135">
        <f t="shared" si="5"/>
        <v>1164.3879887970286</v>
      </c>
      <c r="D93" s="135">
        <f t="shared" si="6"/>
        <v>492.22311762866639</v>
      </c>
      <c r="E93" s="18">
        <f t="shared" si="7"/>
        <v>265653.60289312078</v>
      </c>
    </row>
    <row r="94" spans="1:5" ht="14.4" x14ac:dyDescent="0.3">
      <c r="A94" s="86">
        <v>84</v>
      </c>
      <c r="B94" s="192">
        <f t="shared" si="4"/>
        <v>1656.611106425695</v>
      </c>
      <c r="C94" s="135">
        <f t="shared" si="5"/>
        <v>1162.2345126574032</v>
      </c>
      <c r="D94" s="135">
        <f t="shared" si="6"/>
        <v>494.37659376829174</v>
      </c>
      <c r="E94" s="18">
        <f t="shared" si="7"/>
        <v>265159.22629935248</v>
      </c>
    </row>
    <row r="95" spans="1:5" ht="14.4" x14ac:dyDescent="0.3">
      <c r="A95" s="86">
        <v>85</v>
      </c>
      <c r="B95" s="192">
        <f t="shared" si="4"/>
        <v>1656.611106425695</v>
      </c>
      <c r="C95" s="135">
        <f t="shared" si="5"/>
        <v>1160.071615059667</v>
      </c>
      <c r="D95" s="135">
        <f t="shared" si="6"/>
        <v>496.53949136602796</v>
      </c>
      <c r="E95" s="18">
        <f t="shared" si="7"/>
        <v>264662.68680798647</v>
      </c>
    </row>
    <row r="96" spans="1:5" ht="14.4" x14ac:dyDescent="0.3">
      <c r="A96" s="86">
        <v>86</v>
      </c>
      <c r="B96" s="192">
        <f t="shared" si="4"/>
        <v>1656.611106425695</v>
      </c>
      <c r="C96" s="135">
        <f t="shared" si="5"/>
        <v>1157.8992547849407</v>
      </c>
      <c r="D96" s="135">
        <f t="shared" si="6"/>
        <v>498.71185164075428</v>
      </c>
      <c r="E96" s="18">
        <f t="shared" si="7"/>
        <v>264163.97495634569</v>
      </c>
    </row>
    <row r="97" spans="1:5" ht="14.4" x14ac:dyDescent="0.3">
      <c r="A97" s="86">
        <v>87</v>
      </c>
      <c r="B97" s="192">
        <f t="shared" si="4"/>
        <v>1656.611106425695</v>
      </c>
      <c r="C97" s="135">
        <f t="shared" si="5"/>
        <v>1155.7173904340123</v>
      </c>
      <c r="D97" s="135">
        <f t="shared" si="6"/>
        <v>500.89371599168271</v>
      </c>
      <c r="E97" s="18">
        <f t="shared" si="7"/>
        <v>263663.08124035399</v>
      </c>
    </row>
    <row r="98" spans="1:5" ht="14.4" x14ac:dyDescent="0.3">
      <c r="A98" s="86">
        <v>88</v>
      </c>
      <c r="B98" s="192">
        <f t="shared" si="4"/>
        <v>1656.611106425695</v>
      </c>
      <c r="C98" s="135">
        <f t="shared" si="5"/>
        <v>1153.5259804265486</v>
      </c>
      <c r="D98" s="135">
        <f t="shared" si="6"/>
        <v>503.08512599914638</v>
      </c>
      <c r="E98" s="18">
        <f t="shared" si="7"/>
        <v>263159.99611435487</v>
      </c>
    </row>
    <row r="99" spans="1:5" ht="14.4" x14ac:dyDescent="0.3">
      <c r="A99" s="86">
        <v>89</v>
      </c>
      <c r="B99" s="192">
        <f t="shared" si="4"/>
        <v>1656.611106425695</v>
      </c>
      <c r="C99" s="135">
        <f t="shared" si="5"/>
        <v>1151.3249830003024</v>
      </c>
      <c r="D99" s="135">
        <f t="shared" si="6"/>
        <v>505.28612342539259</v>
      </c>
      <c r="E99" s="18">
        <f t="shared" si="7"/>
        <v>262654.70999092946</v>
      </c>
    </row>
    <row r="100" spans="1:5" ht="14.4" x14ac:dyDescent="0.3">
      <c r="A100" s="86">
        <v>90</v>
      </c>
      <c r="B100" s="192">
        <f t="shared" si="4"/>
        <v>1656.611106425695</v>
      </c>
      <c r="C100" s="135">
        <f t="shared" si="5"/>
        <v>1149.1143562103164</v>
      </c>
      <c r="D100" s="135">
        <f t="shared" si="6"/>
        <v>507.4967502153786</v>
      </c>
      <c r="E100" s="18">
        <f t="shared" si="7"/>
        <v>262147.2132407141</v>
      </c>
    </row>
    <row r="101" spans="1:5" ht="14.4" x14ac:dyDescent="0.3">
      <c r="A101" s="86">
        <v>91</v>
      </c>
      <c r="B101" s="192">
        <f t="shared" si="4"/>
        <v>1656.611106425695</v>
      </c>
      <c r="C101" s="135">
        <f t="shared" si="5"/>
        <v>1146.8940579281241</v>
      </c>
      <c r="D101" s="135">
        <f t="shared" si="6"/>
        <v>509.71704849757089</v>
      </c>
      <c r="E101" s="18">
        <f t="shared" si="7"/>
        <v>261637.49619221652</v>
      </c>
    </row>
    <row r="102" spans="1:5" ht="14.4" x14ac:dyDescent="0.3">
      <c r="A102" s="86">
        <v>92</v>
      </c>
      <c r="B102" s="192">
        <f t="shared" si="4"/>
        <v>1656.611106425695</v>
      </c>
      <c r="C102" s="135">
        <f t="shared" si="5"/>
        <v>1144.6640458409472</v>
      </c>
      <c r="D102" s="135">
        <f t="shared" si="6"/>
        <v>511.94706058474776</v>
      </c>
      <c r="E102" s="18">
        <f t="shared" si="7"/>
        <v>261125.54913163176</v>
      </c>
    </row>
    <row r="103" spans="1:5" ht="14.4" x14ac:dyDescent="0.3">
      <c r="A103" s="86">
        <v>93</v>
      </c>
      <c r="B103" s="192">
        <f t="shared" si="4"/>
        <v>1656.611106425695</v>
      </c>
      <c r="C103" s="135">
        <f t="shared" si="5"/>
        <v>1142.4242774508889</v>
      </c>
      <c r="D103" s="135">
        <f t="shared" si="6"/>
        <v>514.18682897480608</v>
      </c>
      <c r="E103" s="18">
        <f t="shared" si="7"/>
        <v>260611.36230265695</v>
      </c>
    </row>
    <row r="104" spans="1:5" ht="14.4" x14ac:dyDescent="0.3">
      <c r="A104" s="86">
        <v>94</v>
      </c>
      <c r="B104" s="192">
        <f t="shared" si="4"/>
        <v>1656.611106425695</v>
      </c>
      <c r="C104" s="135">
        <f t="shared" si="5"/>
        <v>1140.1747100741241</v>
      </c>
      <c r="D104" s="135">
        <f t="shared" si="6"/>
        <v>516.43639635157092</v>
      </c>
      <c r="E104" s="18">
        <f t="shared" si="7"/>
        <v>260094.92590630538</v>
      </c>
    </row>
    <row r="105" spans="1:5" ht="14.4" x14ac:dyDescent="0.3">
      <c r="A105" s="86">
        <v>95</v>
      </c>
      <c r="B105" s="192">
        <f t="shared" si="4"/>
        <v>1656.611106425695</v>
      </c>
      <c r="C105" s="135">
        <f t="shared" si="5"/>
        <v>1137.9153008400858</v>
      </c>
      <c r="D105" s="135">
        <f t="shared" si="6"/>
        <v>518.69580558560915</v>
      </c>
      <c r="E105" s="18">
        <f t="shared" si="7"/>
        <v>259576.23010071975</v>
      </c>
    </row>
    <row r="106" spans="1:5" ht="14.4" x14ac:dyDescent="0.3">
      <c r="A106" s="86">
        <v>96</v>
      </c>
      <c r="B106" s="192">
        <f t="shared" si="4"/>
        <v>1656.611106425695</v>
      </c>
      <c r="C106" s="135">
        <f t="shared" si="5"/>
        <v>1135.6460066906488</v>
      </c>
      <c r="D106" s="135">
        <f t="shared" si="6"/>
        <v>520.96509973504612</v>
      </c>
      <c r="E106" s="18">
        <f t="shared" si="7"/>
        <v>259055.26500098471</v>
      </c>
    </row>
    <row r="107" spans="1:5" ht="14.4" x14ac:dyDescent="0.3">
      <c r="A107" s="86">
        <v>97</v>
      </c>
      <c r="B107" s="192">
        <f t="shared" si="4"/>
        <v>1656.611106425695</v>
      </c>
      <c r="C107" s="135">
        <f t="shared" si="5"/>
        <v>1133.366784379308</v>
      </c>
      <c r="D107" s="135">
        <f t="shared" si="6"/>
        <v>523.24432204638697</v>
      </c>
      <c r="E107" s="18">
        <f t="shared" si="7"/>
        <v>258532.02067893834</v>
      </c>
    </row>
    <row r="108" spans="1:5" ht="14.4" x14ac:dyDescent="0.3">
      <c r="A108" s="86">
        <v>98</v>
      </c>
      <c r="B108" s="192">
        <f t="shared" si="4"/>
        <v>1656.611106425695</v>
      </c>
      <c r="C108" s="135">
        <f t="shared" si="5"/>
        <v>1131.0775904703551</v>
      </c>
      <c r="D108" s="135">
        <f t="shared" si="6"/>
        <v>525.53351595533991</v>
      </c>
      <c r="E108" s="18">
        <f t="shared" si="7"/>
        <v>258006.48716298299</v>
      </c>
    </row>
    <row r="109" spans="1:5" ht="14.4" x14ac:dyDescent="0.3">
      <c r="A109" s="86">
        <v>99</v>
      </c>
      <c r="B109" s="192">
        <f t="shared" si="4"/>
        <v>1656.611106425695</v>
      </c>
      <c r="C109" s="135">
        <f t="shared" si="5"/>
        <v>1128.7783813380504</v>
      </c>
      <c r="D109" s="135">
        <f t="shared" si="6"/>
        <v>527.83272508764458</v>
      </c>
      <c r="E109" s="18">
        <f t="shared" si="7"/>
        <v>257478.65443789534</v>
      </c>
    </row>
    <row r="110" spans="1:5" ht="14.4" x14ac:dyDescent="0.3">
      <c r="A110" s="86">
        <v>100</v>
      </c>
      <c r="B110" s="192">
        <f t="shared" si="4"/>
        <v>1656.611106425695</v>
      </c>
      <c r="C110" s="135">
        <f t="shared" si="5"/>
        <v>1126.4691131657919</v>
      </c>
      <c r="D110" s="135">
        <f t="shared" si="6"/>
        <v>530.14199325990307</v>
      </c>
      <c r="E110" s="18">
        <f t="shared" si="7"/>
        <v>256948.51244463545</v>
      </c>
    </row>
    <row r="111" spans="1:5" ht="14.4" x14ac:dyDescent="0.3">
      <c r="A111" s="86">
        <v>101</v>
      </c>
      <c r="B111" s="192">
        <f t="shared" si="4"/>
        <v>1656.611106425695</v>
      </c>
      <c r="C111" s="135">
        <f t="shared" si="5"/>
        <v>1124.1497419452799</v>
      </c>
      <c r="D111" s="135">
        <f t="shared" si="6"/>
        <v>532.46136448041511</v>
      </c>
      <c r="E111" s="18">
        <f t="shared" si="7"/>
        <v>256416.05108015504</v>
      </c>
    </row>
    <row r="112" spans="1:5" ht="14.4" x14ac:dyDescent="0.3">
      <c r="A112" s="86">
        <v>102</v>
      </c>
      <c r="B112" s="192">
        <f t="shared" si="4"/>
        <v>1656.611106425695</v>
      </c>
      <c r="C112" s="135">
        <f t="shared" si="5"/>
        <v>1121.8202234756782</v>
      </c>
      <c r="D112" s="135">
        <f t="shared" si="6"/>
        <v>534.79088295001679</v>
      </c>
      <c r="E112" s="18">
        <f t="shared" si="7"/>
        <v>255881.26019720503</v>
      </c>
    </row>
    <row r="113" spans="1:5" ht="14.4" x14ac:dyDescent="0.3">
      <c r="A113" s="86">
        <v>103</v>
      </c>
      <c r="B113" s="192">
        <f t="shared" si="4"/>
        <v>1656.611106425695</v>
      </c>
      <c r="C113" s="135">
        <f t="shared" si="5"/>
        <v>1119.4805133627719</v>
      </c>
      <c r="D113" s="135">
        <f t="shared" si="6"/>
        <v>537.13059306292303</v>
      </c>
      <c r="E113" s="18">
        <f t="shared" si="7"/>
        <v>255344.1296041421</v>
      </c>
    </row>
    <row r="114" spans="1:5" ht="14.4" x14ac:dyDescent="0.3">
      <c r="A114" s="86">
        <v>104</v>
      </c>
      <c r="B114" s="192">
        <f t="shared" si="4"/>
        <v>1656.611106425695</v>
      </c>
      <c r="C114" s="135">
        <f t="shared" si="5"/>
        <v>1117.1305670181216</v>
      </c>
      <c r="D114" s="135">
        <f t="shared" si="6"/>
        <v>539.48053940757336</v>
      </c>
      <c r="E114" s="18">
        <f t="shared" si="7"/>
        <v>254804.64906473452</v>
      </c>
    </row>
    <row r="115" spans="1:5" ht="14.4" x14ac:dyDescent="0.3">
      <c r="A115" s="86">
        <v>105</v>
      </c>
      <c r="B115" s="192">
        <f t="shared" si="4"/>
        <v>1656.611106425695</v>
      </c>
      <c r="C115" s="135">
        <f t="shared" si="5"/>
        <v>1114.7703396582135</v>
      </c>
      <c r="D115" s="135">
        <f t="shared" si="6"/>
        <v>541.84076676748145</v>
      </c>
      <c r="E115" s="18">
        <f t="shared" si="7"/>
        <v>254262.80829796704</v>
      </c>
    </row>
    <row r="116" spans="1:5" ht="14.4" x14ac:dyDescent="0.3">
      <c r="A116" s="86">
        <v>106</v>
      </c>
      <c r="B116" s="192">
        <f t="shared" si="4"/>
        <v>1656.611106425695</v>
      </c>
      <c r="C116" s="135">
        <f t="shared" si="5"/>
        <v>1112.3997863036057</v>
      </c>
      <c r="D116" s="135">
        <f t="shared" si="6"/>
        <v>544.21132012208932</v>
      </c>
      <c r="E116" s="18">
        <f t="shared" si="7"/>
        <v>253718.59697784495</v>
      </c>
    </row>
    <row r="117" spans="1:5" ht="14.4" x14ac:dyDescent="0.3">
      <c r="A117" s="86">
        <v>107</v>
      </c>
      <c r="B117" s="192">
        <f t="shared" si="4"/>
        <v>1656.611106425695</v>
      </c>
      <c r="C117" s="135">
        <f t="shared" si="5"/>
        <v>1110.0188617780716</v>
      </c>
      <c r="D117" s="135">
        <f t="shared" si="6"/>
        <v>546.59224464762337</v>
      </c>
      <c r="E117" s="18">
        <f t="shared" si="7"/>
        <v>253172.00473319733</v>
      </c>
    </row>
    <row r="118" spans="1:5" ht="14.4" x14ac:dyDescent="0.3">
      <c r="A118" s="86">
        <v>108</v>
      </c>
      <c r="B118" s="192">
        <f t="shared" si="4"/>
        <v>1656.611106425695</v>
      </c>
      <c r="C118" s="135">
        <f t="shared" si="5"/>
        <v>1107.6275207077383</v>
      </c>
      <c r="D118" s="135">
        <f t="shared" si="6"/>
        <v>548.98358571795666</v>
      </c>
      <c r="E118" s="18">
        <f t="shared" si="7"/>
        <v>252623.02114747939</v>
      </c>
    </row>
    <row r="119" spans="1:5" ht="14.4" x14ac:dyDescent="0.3">
      <c r="A119" s="86">
        <v>109</v>
      </c>
      <c r="B119" s="192">
        <f t="shared" si="4"/>
        <v>1656.611106425695</v>
      </c>
      <c r="C119" s="135">
        <f t="shared" si="5"/>
        <v>1105.2257175202221</v>
      </c>
      <c r="D119" s="135">
        <f t="shared" si="6"/>
        <v>551.38538890547284</v>
      </c>
      <c r="E119" s="18">
        <f t="shared" si="7"/>
        <v>252071.63575857392</v>
      </c>
    </row>
    <row r="120" spans="1:5" ht="14.4" x14ac:dyDescent="0.3">
      <c r="A120" s="86">
        <v>110</v>
      </c>
      <c r="B120" s="192">
        <f t="shared" si="4"/>
        <v>1656.611106425695</v>
      </c>
      <c r="C120" s="135">
        <f t="shared" si="5"/>
        <v>1102.8134064437609</v>
      </c>
      <c r="D120" s="135">
        <f t="shared" si="6"/>
        <v>553.7976999819341</v>
      </c>
      <c r="E120" s="18">
        <f t="shared" si="7"/>
        <v>251517.83805859199</v>
      </c>
    </row>
    <row r="121" spans="1:5" ht="14.4" x14ac:dyDescent="0.3">
      <c r="A121" s="86">
        <v>111</v>
      </c>
      <c r="B121" s="192">
        <f t="shared" si="4"/>
        <v>1656.611106425695</v>
      </c>
      <c r="C121" s="135">
        <f t="shared" si="5"/>
        <v>1100.3905415063398</v>
      </c>
      <c r="D121" s="135">
        <f t="shared" si="6"/>
        <v>556.22056491935518</v>
      </c>
      <c r="E121" s="18">
        <f t="shared" si="7"/>
        <v>250961.61749367265</v>
      </c>
    </row>
    <row r="122" spans="1:5" ht="14.4" x14ac:dyDescent="0.3">
      <c r="A122" s="86">
        <v>112</v>
      </c>
      <c r="B122" s="192">
        <f t="shared" si="4"/>
        <v>1656.611106425695</v>
      </c>
      <c r="C122" s="135">
        <f t="shared" si="5"/>
        <v>1097.9570765348178</v>
      </c>
      <c r="D122" s="135">
        <f t="shared" si="6"/>
        <v>558.65402989087715</v>
      </c>
      <c r="E122" s="18">
        <f t="shared" si="7"/>
        <v>250402.96346378178</v>
      </c>
    </row>
    <row r="123" spans="1:5" ht="14.4" x14ac:dyDescent="0.3">
      <c r="A123" s="86">
        <v>113</v>
      </c>
      <c r="B123" s="192">
        <f t="shared" si="4"/>
        <v>1656.611106425695</v>
      </c>
      <c r="C123" s="135">
        <f t="shared" si="5"/>
        <v>1095.5129651540451</v>
      </c>
      <c r="D123" s="135">
        <f t="shared" si="6"/>
        <v>561.09814127164987</v>
      </c>
      <c r="E123" s="18">
        <f t="shared" si="7"/>
        <v>249841.86532251013</v>
      </c>
    </row>
    <row r="124" spans="1:5" ht="14.4" x14ac:dyDescent="0.3">
      <c r="A124" s="86">
        <v>114</v>
      </c>
      <c r="B124" s="192">
        <f t="shared" si="4"/>
        <v>1656.611106425695</v>
      </c>
      <c r="C124" s="135">
        <f t="shared" si="5"/>
        <v>1093.0581607859817</v>
      </c>
      <c r="D124" s="135">
        <f t="shared" si="6"/>
        <v>563.55294563971324</v>
      </c>
      <c r="E124" s="18">
        <f t="shared" si="7"/>
        <v>249278.31237687042</v>
      </c>
    </row>
    <row r="125" spans="1:5" ht="14.4" x14ac:dyDescent="0.3">
      <c r="A125" s="86">
        <v>115</v>
      </c>
      <c r="B125" s="192">
        <f t="shared" si="4"/>
        <v>1656.611106425695</v>
      </c>
      <c r="C125" s="135">
        <f t="shared" si="5"/>
        <v>1090.592616648808</v>
      </c>
      <c r="D125" s="135">
        <f t="shared" si="6"/>
        <v>566.01848977688701</v>
      </c>
      <c r="E125" s="18">
        <f t="shared" si="7"/>
        <v>248712.29388709355</v>
      </c>
    </row>
    <row r="126" spans="1:5" ht="14.4" x14ac:dyDescent="0.3">
      <c r="A126" s="86">
        <v>116</v>
      </c>
      <c r="B126" s="192">
        <f t="shared" si="4"/>
        <v>1656.611106425695</v>
      </c>
      <c r="C126" s="135">
        <f t="shared" si="5"/>
        <v>1088.1162857560341</v>
      </c>
      <c r="D126" s="135">
        <f t="shared" si="6"/>
        <v>568.49482066966084</v>
      </c>
      <c r="E126" s="18">
        <f t="shared" si="7"/>
        <v>248143.79906642388</v>
      </c>
    </row>
    <row r="127" spans="1:5" ht="14.4" x14ac:dyDescent="0.3">
      <c r="A127" s="86">
        <v>117</v>
      </c>
      <c r="B127" s="192">
        <f t="shared" si="4"/>
        <v>1656.611106425695</v>
      </c>
      <c r="C127" s="135">
        <f t="shared" si="5"/>
        <v>1085.6291209156043</v>
      </c>
      <c r="D127" s="135">
        <f t="shared" si="6"/>
        <v>570.98198551009068</v>
      </c>
      <c r="E127" s="18">
        <f t="shared" si="7"/>
        <v>247572.81708091378</v>
      </c>
    </row>
    <row r="128" spans="1:5" ht="14.4" x14ac:dyDescent="0.3">
      <c r="A128" s="86">
        <v>118</v>
      </c>
      <c r="B128" s="192">
        <f t="shared" si="4"/>
        <v>1656.611106425695</v>
      </c>
      <c r="C128" s="135">
        <f t="shared" si="5"/>
        <v>1083.1310747289976</v>
      </c>
      <c r="D128" s="135">
        <f t="shared" si="6"/>
        <v>573.48003169669732</v>
      </c>
      <c r="E128" s="18">
        <f t="shared" si="7"/>
        <v>246999.33704921708</v>
      </c>
    </row>
    <row r="129" spans="1:5" ht="14.4" x14ac:dyDescent="0.3">
      <c r="A129" s="86">
        <v>119</v>
      </c>
      <c r="B129" s="192">
        <f t="shared" si="4"/>
        <v>1656.611106425695</v>
      </c>
      <c r="C129" s="135">
        <f t="shared" si="5"/>
        <v>1080.6220995903245</v>
      </c>
      <c r="D129" s="135">
        <f t="shared" si="6"/>
        <v>575.98900683537045</v>
      </c>
      <c r="E129" s="18">
        <f t="shared" si="7"/>
        <v>246423.34804238172</v>
      </c>
    </row>
    <row r="130" spans="1:5" ht="14.4" x14ac:dyDescent="0.3">
      <c r="A130" s="86">
        <v>120</v>
      </c>
      <c r="B130" s="192">
        <f t="shared" si="4"/>
        <v>1656.611106425695</v>
      </c>
      <c r="C130" s="135">
        <f t="shared" si="5"/>
        <v>1078.1021476854198</v>
      </c>
      <c r="D130" s="135">
        <f t="shared" si="6"/>
        <v>578.50895874027515</v>
      </c>
      <c r="E130" s="18">
        <f t="shared" si="7"/>
        <v>245844.83908364145</v>
      </c>
    </row>
    <row r="131" spans="1:5" ht="14.4" x14ac:dyDescent="0.3">
      <c r="A131" s="86">
        <v>121</v>
      </c>
      <c r="B131" s="192">
        <f t="shared" si="4"/>
        <v>1656.611106425695</v>
      </c>
      <c r="C131" s="135">
        <f t="shared" si="5"/>
        <v>1075.5711709909313</v>
      </c>
      <c r="D131" s="135">
        <f t="shared" si="6"/>
        <v>581.03993543476372</v>
      </c>
      <c r="E131" s="18">
        <f t="shared" si="7"/>
        <v>245263.79914820669</v>
      </c>
    </row>
    <row r="132" spans="1:5" ht="14.4" x14ac:dyDescent="0.3">
      <c r="A132" s="86">
        <v>122</v>
      </c>
      <c r="B132" s="192">
        <f t="shared" si="4"/>
        <v>1656.611106425695</v>
      </c>
      <c r="C132" s="135">
        <f t="shared" si="5"/>
        <v>1073.0291212734041</v>
      </c>
      <c r="D132" s="135">
        <f t="shared" si="6"/>
        <v>583.58198515229083</v>
      </c>
      <c r="E132" s="18">
        <f t="shared" si="7"/>
        <v>244680.21716305439</v>
      </c>
    </row>
    <row r="133" spans="1:5" ht="14.4" x14ac:dyDescent="0.3">
      <c r="A133" s="86">
        <v>123</v>
      </c>
      <c r="B133" s="192">
        <f t="shared" si="4"/>
        <v>1656.611106425695</v>
      </c>
      <c r="C133" s="135">
        <f t="shared" si="5"/>
        <v>1070.4759500883629</v>
      </c>
      <c r="D133" s="135">
        <f t="shared" si="6"/>
        <v>586.13515633733209</v>
      </c>
      <c r="E133" s="18">
        <f t="shared" si="7"/>
        <v>244094.08200671704</v>
      </c>
    </row>
    <row r="134" spans="1:5" ht="14.4" x14ac:dyDescent="0.3">
      <c r="A134" s="86">
        <v>124</v>
      </c>
      <c r="B134" s="192">
        <f t="shared" si="4"/>
        <v>1656.611106425695</v>
      </c>
      <c r="C134" s="135">
        <f t="shared" si="5"/>
        <v>1067.9116087793871</v>
      </c>
      <c r="D134" s="135">
        <f t="shared" si="6"/>
        <v>588.69949764630792</v>
      </c>
      <c r="E134" s="18">
        <f t="shared" si="7"/>
        <v>243505.38250907074</v>
      </c>
    </row>
    <row r="135" spans="1:5" ht="14.4" x14ac:dyDescent="0.3">
      <c r="A135" s="86">
        <v>125</v>
      </c>
      <c r="B135" s="192">
        <f t="shared" si="4"/>
        <v>1656.611106425695</v>
      </c>
      <c r="C135" s="135">
        <f t="shared" si="5"/>
        <v>1065.3360484771845</v>
      </c>
      <c r="D135" s="135">
        <f t="shared" si="6"/>
        <v>591.27505794851049</v>
      </c>
      <c r="E135" s="18">
        <f t="shared" si="7"/>
        <v>242914.10745112223</v>
      </c>
    </row>
    <row r="136" spans="1:5" ht="14.4" x14ac:dyDescent="0.3">
      <c r="A136" s="86">
        <v>126</v>
      </c>
      <c r="B136" s="192">
        <f t="shared" si="4"/>
        <v>1656.611106425695</v>
      </c>
      <c r="C136" s="135">
        <f t="shared" si="5"/>
        <v>1062.7492200986596</v>
      </c>
      <c r="D136" s="135">
        <f t="shared" si="6"/>
        <v>593.86188632703534</v>
      </c>
      <c r="E136" s="18">
        <f t="shared" si="7"/>
        <v>242320.24556479519</v>
      </c>
    </row>
    <row r="137" spans="1:5" ht="14.4" x14ac:dyDescent="0.3">
      <c r="A137" s="86">
        <v>127</v>
      </c>
      <c r="B137" s="192">
        <f t="shared" si="4"/>
        <v>1656.611106425695</v>
      </c>
      <c r="C137" s="135">
        <f t="shared" si="5"/>
        <v>1060.1510743459789</v>
      </c>
      <c r="D137" s="135">
        <f t="shared" si="6"/>
        <v>596.46003207971603</v>
      </c>
      <c r="E137" s="18">
        <f t="shared" si="7"/>
        <v>241723.78553271547</v>
      </c>
    </row>
    <row r="138" spans="1:5" ht="14.4" x14ac:dyDescent="0.3">
      <c r="A138" s="86">
        <v>128</v>
      </c>
      <c r="B138" s="192">
        <f t="shared" si="4"/>
        <v>1656.611106425695</v>
      </c>
      <c r="C138" s="135">
        <f t="shared" si="5"/>
        <v>1057.5415617056301</v>
      </c>
      <c r="D138" s="135">
        <f t="shared" si="6"/>
        <v>599.06954472006487</v>
      </c>
      <c r="E138" s="18">
        <f t="shared" si="7"/>
        <v>241124.71598799541</v>
      </c>
    </row>
    <row r="139" spans="1:5" ht="14.4" x14ac:dyDescent="0.3">
      <c r="A139" s="86">
        <v>129</v>
      </c>
      <c r="B139" s="192">
        <f t="shared" si="4"/>
        <v>1656.611106425695</v>
      </c>
      <c r="C139" s="135">
        <f t="shared" si="5"/>
        <v>1054.9206324474799</v>
      </c>
      <c r="D139" s="135">
        <f t="shared" si="6"/>
        <v>601.6904739782151</v>
      </c>
      <c r="E139" s="18">
        <f t="shared" si="7"/>
        <v>240523.02551401721</v>
      </c>
    </row>
    <row r="140" spans="1:5" ht="14.4" x14ac:dyDescent="0.3">
      <c r="A140" s="86">
        <v>130</v>
      </c>
      <c r="B140" s="192">
        <f t="shared" ref="B140:B203" si="8">-$B$7</f>
        <v>1656.611106425695</v>
      </c>
      <c r="C140" s="135">
        <f t="shared" ref="C140:C203" si="9">E139*$B$3</f>
        <v>1052.2882366238252</v>
      </c>
      <c r="D140" s="135">
        <f t="shared" ref="D140:D203" si="10">B140-C140</f>
        <v>604.32286980186973</v>
      </c>
      <c r="E140" s="18">
        <f t="shared" ref="E140:E203" si="11">E139-D140</f>
        <v>239918.70264421534</v>
      </c>
    </row>
    <row r="141" spans="1:5" ht="14.4" x14ac:dyDescent="0.3">
      <c r="A141" s="86">
        <v>131</v>
      </c>
      <c r="B141" s="192">
        <f t="shared" si="8"/>
        <v>1656.611106425695</v>
      </c>
      <c r="C141" s="135">
        <f t="shared" si="9"/>
        <v>1049.6443240684421</v>
      </c>
      <c r="D141" s="135">
        <f t="shared" si="10"/>
        <v>606.9667823572529</v>
      </c>
      <c r="E141" s="18">
        <f t="shared" si="11"/>
        <v>239311.73586185809</v>
      </c>
    </row>
    <row r="142" spans="1:5" ht="14.4" x14ac:dyDescent="0.3">
      <c r="A142" s="86">
        <v>132</v>
      </c>
      <c r="B142" s="192">
        <f t="shared" si="8"/>
        <v>1656.611106425695</v>
      </c>
      <c r="C142" s="135">
        <f t="shared" si="9"/>
        <v>1046.988844395629</v>
      </c>
      <c r="D142" s="135">
        <f t="shared" si="10"/>
        <v>609.62226203006594</v>
      </c>
      <c r="E142" s="18">
        <f t="shared" si="11"/>
        <v>238702.11359982804</v>
      </c>
    </row>
    <row r="143" spans="1:5" ht="14.4" x14ac:dyDescent="0.3">
      <c r="A143" s="86">
        <v>133</v>
      </c>
      <c r="B143" s="192">
        <f t="shared" si="8"/>
        <v>1656.611106425695</v>
      </c>
      <c r="C143" s="135">
        <f t="shared" si="9"/>
        <v>1044.3217469992476</v>
      </c>
      <c r="D143" s="135">
        <f t="shared" si="10"/>
        <v>612.28935942644739</v>
      </c>
      <c r="E143" s="18">
        <f t="shared" si="11"/>
        <v>238089.82424040159</v>
      </c>
    </row>
    <row r="144" spans="1:5" ht="14.4" x14ac:dyDescent="0.3">
      <c r="A144" s="86">
        <v>134</v>
      </c>
      <c r="B144" s="192">
        <f t="shared" si="8"/>
        <v>1656.611106425695</v>
      </c>
      <c r="C144" s="135">
        <f t="shared" si="9"/>
        <v>1041.6429810517568</v>
      </c>
      <c r="D144" s="135">
        <f t="shared" si="10"/>
        <v>614.96812537393816</v>
      </c>
      <c r="E144" s="18">
        <f t="shared" si="11"/>
        <v>237474.85611502765</v>
      </c>
    </row>
    <row r="145" spans="1:5" ht="14.4" x14ac:dyDescent="0.3">
      <c r="A145" s="86">
        <v>135</v>
      </c>
      <c r="B145" s="192">
        <f t="shared" si="8"/>
        <v>1656.611106425695</v>
      </c>
      <c r="C145" s="135">
        <f t="shared" si="9"/>
        <v>1038.9524955032459</v>
      </c>
      <c r="D145" s="135">
        <f t="shared" si="10"/>
        <v>617.65861092244904</v>
      </c>
      <c r="E145" s="18">
        <f t="shared" si="11"/>
        <v>236857.19750410519</v>
      </c>
    </row>
    <row r="146" spans="1:5" ht="14.4" x14ac:dyDescent="0.3">
      <c r="A146" s="86">
        <v>136</v>
      </c>
      <c r="B146" s="192">
        <f t="shared" si="8"/>
        <v>1656.611106425695</v>
      </c>
      <c r="C146" s="135">
        <f t="shared" si="9"/>
        <v>1036.25023908046</v>
      </c>
      <c r="D146" s="135">
        <f t="shared" si="10"/>
        <v>620.36086734523496</v>
      </c>
      <c r="E146" s="18">
        <f t="shared" si="11"/>
        <v>236236.83663675995</v>
      </c>
    </row>
    <row r="147" spans="1:5" ht="14.4" x14ac:dyDescent="0.3">
      <c r="A147" s="86">
        <v>137</v>
      </c>
      <c r="B147" s="192">
        <f t="shared" si="8"/>
        <v>1656.611106425695</v>
      </c>
      <c r="C147" s="135">
        <f t="shared" si="9"/>
        <v>1033.5361602858247</v>
      </c>
      <c r="D147" s="135">
        <f t="shared" si="10"/>
        <v>623.07494613987024</v>
      </c>
      <c r="E147" s="18">
        <f t="shared" si="11"/>
        <v>235613.76169062007</v>
      </c>
    </row>
    <row r="148" spans="1:5" ht="14.4" x14ac:dyDescent="0.3">
      <c r="A148" s="86">
        <v>138</v>
      </c>
      <c r="B148" s="192">
        <f t="shared" si="8"/>
        <v>1656.611106425695</v>
      </c>
      <c r="C148" s="135">
        <f t="shared" si="9"/>
        <v>1030.8102073964626</v>
      </c>
      <c r="D148" s="135">
        <f t="shared" si="10"/>
        <v>625.80089902923237</v>
      </c>
      <c r="E148" s="18">
        <f t="shared" si="11"/>
        <v>234987.96079159083</v>
      </c>
    </row>
    <row r="149" spans="1:5" ht="14.4" x14ac:dyDescent="0.3">
      <c r="A149" s="86">
        <v>139</v>
      </c>
      <c r="B149" s="192">
        <f t="shared" si="8"/>
        <v>1656.611106425695</v>
      </c>
      <c r="C149" s="135">
        <f t="shared" si="9"/>
        <v>1028.0723284632097</v>
      </c>
      <c r="D149" s="135">
        <f t="shared" si="10"/>
        <v>628.53877796248526</v>
      </c>
      <c r="E149" s="18">
        <f t="shared" si="11"/>
        <v>234359.42201362835</v>
      </c>
    </row>
    <row r="150" spans="1:5" ht="14.4" x14ac:dyDescent="0.3">
      <c r="A150" s="86">
        <v>140</v>
      </c>
      <c r="B150" s="192">
        <f t="shared" si="8"/>
        <v>1656.611106425695</v>
      </c>
      <c r="C150" s="135">
        <f t="shared" si="9"/>
        <v>1025.322471309624</v>
      </c>
      <c r="D150" s="135">
        <f t="shared" si="10"/>
        <v>631.28863511607096</v>
      </c>
      <c r="E150" s="18">
        <f t="shared" si="11"/>
        <v>233728.13337851228</v>
      </c>
    </row>
    <row r="151" spans="1:5" ht="14.4" x14ac:dyDescent="0.3">
      <c r="A151" s="86">
        <v>141</v>
      </c>
      <c r="B151" s="192">
        <f t="shared" si="8"/>
        <v>1656.611106425695</v>
      </c>
      <c r="C151" s="135">
        <f t="shared" si="9"/>
        <v>1022.5605835309912</v>
      </c>
      <c r="D151" s="135">
        <f t="shared" si="10"/>
        <v>634.05052289470382</v>
      </c>
      <c r="E151" s="18">
        <f t="shared" si="11"/>
        <v>233094.08285561757</v>
      </c>
    </row>
    <row r="152" spans="1:5" ht="14.4" x14ac:dyDescent="0.3">
      <c r="A152" s="86">
        <v>142</v>
      </c>
      <c r="B152" s="192">
        <f t="shared" si="8"/>
        <v>1656.611106425695</v>
      </c>
      <c r="C152" s="135">
        <f t="shared" si="9"/>
        <v>1019.7866124933267</v>
      </c>
      <c r="D152" s="135">
        <f t="shared" si="10"/>
        <v>636.82449393236823</v>
      </c>
      <c r="E152" s="18">
        <f t="shared" si="11"/>
        <v>232457.25836168521</v>
      </c>
    </row>
    <row r="153" spans="1:5" ht="14.4" x14ac:dyDescent="0.3">
      <c r="A153" s="86">
        <v>143</v>
      </c>
      <c r="B153" s="192">
        <f t="shared" si="8"/>
        <v>1656.611106425695</v>
      </c>
      <c r="C153" s="135">
        <f t="shared" si="9"/>
        <v>1017.0005053323727</v>
      </c>
      <c r="D153" s="135">
        <f t="shared" si="10"/>
        <v>639.61060109332232</v>
      </c>
      <c r="E153" s="18">
        <f t="shared" si="11"/>
        <v>231817.64776059188</v>
      </c>
    </row>
    <row r="154" spans="1:5" ht="14.4" x14ac:dyDescent="0.3">
      <c r="A154" s="86">
        <v>144</v>
      </c>
      <c r="B154" s="192">
        <f t="shared" si="8"/>
        <v>1656.611106425695</v>
      </c>
      <c r="C154" s="135">
        <f t="shared" si="9"/>
        <v>1014.2022089525893</v>
      </c>
      <c r="D154" s="135">
        <f t="shared" si="10"/>
        <v>642.40889747310564</v>
      </c>
      <c r="E154" s="18">
        <f t="shared" si="11"/>
        <v>231175.23886311878</v>
      </c>
    </row>
    <row r="155" spans="1:5" ht="14.4" x14ac:dyDescent="0.3">
      <c r="A155" s="86">
        <v>145</v>
      </c>
      <c r="B155" s="192">
        <f t="shared" si="8"/>
        <v>1656.611106425695</v>
      </c>
      <c r="C155" s="135">
        <f t="shared" si="9"/>
        <v>1011.3916700261445</v>
      </c>
      <c r="D155" s="135">
        <f t="shared" si="10"/>
        <v>645.21943639955043</v>
      </c>
      <c r="E155" s="18">
        <f t="shared" si="11"/>
        <v>230530.01942671923</v>
      </c>
    </row>
    <row r="156" spans="1:5" ht="14.4" x14ac:dyDescent="0.3">
      <c r="A156" s="86">
        <v>146</v>
      </c>
      <c r="B156" s="192">
        <f t="shared" si="8"/>
        <v>1656.611106425695</v>
      </c>
      <c r="C156" s="135">
        <f t="shared" si="9"/>
        <v>1008.5688349918966</v>
      </c>
      <c r="D156" s="135">
        <f t="shared" si="10"/>
        <v>648.04227143379842</v>
      </c>
      <c r="E156" s="18">
        <f t="shared" si="11"/>
        <v>229881.97715528542</v>
      </c>
    </row>
    <row r="157" spans="1:5" ht="14.4" x14ac:dyDescent="0.3">
      <c r="A157" s="86">
        <v>147</v>
      </c>
      <c r="B157" s="192">
        <f t="shared" si="8"/>
        <v>1656.611106425695</v>
      </c>
      <c r="C157" s="135">
        <f t="shared" si="9"/>
        <v>1005.7336500543736</v>
      </c>
      <c r="D157" s="135">
        <f t="shared" si="10"/>
        <v>650.87745637132139</v>
      </c>
      <c r="E157" s="18">
        <f t="shared" si="11"/>
        <v>229231.0996989141</v>
      </c>
    </row>
    <row r="158" spans="1:5" ht="14.4" x14ac:dyDescent="0.3">
      <c r="A158" s="86">
        <v>148</v>
      </c>
      <c r="B158" s="192">
        <f t="shared" si="8"/>
        <v>1656.611106425695</v>
      </c>
      <c r="C158" s="135">
        <f t="shared" si="9"/>
        <v>1002.8860611827491</v>
      </c>
      <c r="D158" s="135">
        <f t="shared" si="10"/>
        <v>653.72504524294584</v>
      </c>
      <c r="E158" s="18">
        <f t="shared" si="11"/>
        <v>228577.37465367114</v>
      </c>
    </row>
    <row r="159" spans="1:5" ht="14.4" x14ac:dyDescent="0.3">
      <c r="A159" s="86">
        <v>149</v>
      </c>
      <c r="B159" s="192">
        <f t="shared" si="8"/>
        <v>1656.611106425695</v>
      </c>
      <c r="C159" s="135">
        <f t="shared" si="9"/>
        <v>1000.0260141098112</v>
      </c>
      <c r="D159" s="135">
        <f t="shared" si="10"/>
        <v>656.5850923158838</v>
      </c>
      <c r="E159" s="18">
        <f t="shared" si="11"/>
        <v>227920.78956135525</v>
      </c>
    </row>
    <row r="160" spans="1:5" ht="14.4" x14ac:dyDescent="0.3">
      <c r="A160" s="86">
        <v>150</v>
      </c>
      <c r="B160" s="192">
        <f t="shared" si="8"/>
        <v>1656.611106425695</v>
      </c>
      <c r="C160" s="135">
        <f t="shared" si="9"/>
        <v>997.15345433092909</v>
      </c>
      <c r="D160" s="135">
        <f t="shared" si="10"/>
        <v>659.45765209476588</v>
      </c>
      <c r="E160" s="18">
        <f t="shared" si="11"/>
        <v>227261.33190926048</v>
      </c>
    </row>
    <row r="161" spans="1:5" ht="14.4" x14ac:dyDescent="0.3">
      <c r="A161" s="86">
        <v>151</v>
      </c>
      <c r="B161" s="192">
        <f t="shared" si="8"/>
        <v>1656.611106425695</v>
      </c>
      <c r="C161" s="135">
        <f t="shared" si="9"/>
        <v>994.26832710301449</v>
      </c>
      <c r="D161" s="135">
        <f t="shared" si="10"/>
        <v>662.34277932268049</v>
      </c>
      <c r="E161" s="18">
        <f t="shared" si="11"/>
        <v>226598.98912993781</v>
      </c>
    </row>
    <row r="162" spans="1:5" ht="14.4" x14ac:dyDescent="0.3">
      <c r="A162" s="86">
        <v>152</v>
      </c>
      <c r="B162" s="192">
        <f t="shared" si="8"/>
        <v>1656.611106425695</v>
      </c>
      <c r="C162" s="135">
        <f t="shared" si="9"/>
        <v>991.37057744347783</v>
      </c>
      <c r="D162" s="135">
        <f t="shared" si="10"/>
        <v>665.24052898221714</v>
      </c>
      <c r="E162" s="18">
        <f t="shared" si="11"/>
        <v>225933.74860095559</v>
      </c>
    </row>
    <row r="163" spans="1:5" ht="14.4" x14ac:dyDescent="0.3">
      <c r="A163" s="86">
        <v>153</v>
      </c>
      <c r="B163" s="192">
        <f t="shared" si="8"/>
        <v>1656.611106425695</v>
      </c>
      <c r="C163" s="135">
        <f t="shared" si="9"/>
        <v>988.46015012918065</v>
      </c>
      <c r="D163" s="135">
        <f t="shared" si="10"/>
        <v>668.15095629651432</v>
      </c>
      <c r="E163" s="18">
        <f t="shared" si="11"/>
        <v>225265.59764465908</v>
      </c>
    </row>
    <row r="164" spans="1:5" ht="14.4" x14ac:dyDescent="0.3">
      <c r="A164" s="86">
        <v>154</v>
      </c>
      <c r="B164" s="192">
        <f t="shared" si="8"/>
        <v>1656.611106425695</v>
      </c>
      <c r="C164" s="135">
        <f t="shared" si="9"/>
        <v>985.53698969538334</v>
      </c>
      <c r="D164" s="135">
        <f t="shared" si="10"/>
        <v>671.07411673031163</v>
      </c>
      <c r="E164" s="18">
        <f t="shared" si="11"/>
        <v>224594.52352792877</v>
      </c>
    </row>
    <row r="165" spans="1:5" ht="14.4" x14ac:dyDescent="0.3">
      <c r="A165" s="86">
        <v>155</v>
      </c>
      <c r="B165" s="192">
        <f t="shared" si="8"/>
        <v>1656.611106425695</v>
      </c>
      <c r="C165" s="135">
        <f t="shared" si="9"/>
        <v>982.60104043468823</v>
      </c>
      <c r="D165" s="135">
        <f t="shared" si="10"/>
        <v>674.01006599100674</v>
      </c>
      <c r="E165" s="18">
        <f t="shared" si="11"/>
        <v>223920.51346193778</v>
      </c>
    </row>
    <row r="166" spans="1:5" ht="14.4" x14ac:dyDescent="0.3">
      <c r="A166" s="86">
        <v>156</v>
      </c>
      <c r="B166" s="192">
        <f t="shared" si="8"/>
        <v>1656.611106425695</v>
      </c>
      <c r="C166" s="135">
        <f t="shared" si="9"/>
        <v>979.65224639597773</v>
      </c>
      <c r="D166" s="135">
        <f t="shared" si="10"/>
        <v>676.95886002971724</v>
      </c>
      <c r="E166" s="18">
        <f t="shared" si="11"/>
        <v>223243.55460190805</v>
      </c>
    </row>
    <row r="167" spans="1:5" ht="14.4" x14ac:dyDescent="0.3">
      <c r="A167" s="86">
        <v>157</v>
      </c>
      <c r="B167" s="192">
        <f t="shared" si="8"/>
        <v>1656.611106425695</v>
      </c>
      <c r="C167" s="135">
        <f t="shared" si="9"/>
        <v>976.69055138334761</v>
      </c>
      <c r="D167" s="135">
        <f t="shared" si="10"/>
        <v>679.92055504234736</v>
      </c>
      <c r="E167" s="18">
        <f t="shared" si="11"/>
        <v>222563.63404686571</v>
      </c>
    </row>
    <row r="168" spans="1:5" ht="14.4" x14ac:dyDescent="0.3">
      <c r="A168" s="86">
        <v>158</v>
      </c>
      <c r="B168" s="192">
        <f t="shared" si="8"/>
        <v>1656.611106425695</v>
      </c>
      <c r="C168" s="135">
        <f t="shared" si="9"/>
        <v>973.71589895503735</v>
      </c>
      <c r="D168" s="135">
        <f t="shared" si="10"/>
        <v>682.89520747065762</v>
      </c>
      <c r="E168" s="18">
        <f t="shared" si="11"/>
        <v>221880.73883939505</v>
      </c>
    </row>
    <row r="169" spans="1:5" ht="14.4" x14ac:dyDescent="0.3">
      <c r="A169" s="86">
        <v>159</v>
      </c>
      <c r="B169" s="192">
        <f t="shared" si="8"/>
        <v>1656.611106425695</v>
      </c>
      <c r="C169" s="135">
        <f t="shared" si="9"/>
        <v>970.72823242235324</v>
      </c>
      <c r="D169" s="135">
        <f t="shared" si="10"/>
        <v>685.88287400334173</v>
      </c>
      <c r="E169" s="18">
        <f t="shared" si="11"/>
        <v>221194.8559653917</v>
      </c>
    </row>
    <row r="170" spans="1:5" ht="14.4" x14ac:dyDescent="0.3">
      <c r="A170" s="86">
        <v>160</v>
      </c>
      <c r="B170" s="192">
        <f t="shared" si="8"/>
        <v>1656.611106425695</v>
      </c>
      <c r="C170" s="135">
        <f t="shared" si="9"/>
        <v>967.72749484858855</v>
      </c>
      <c r="D170" s="135">
        <f t="shared" si="10"/>
        <v>688.88361157710642</v>
      </c>
      <c r="E170" s="18">
        <f t="shared" si="11"/>
        <v>220505.97235381461</v>
      </c>
    </row>
    <row r="171" spans="1:5" ht="14.4" x14ac:dyDescent="0.3">
      <c r="A171" s="86">
        <v>161</v>
      </c>
      <c r="B171" s="192">
        <f t="shared" si="8"/>
        <v>1656.611106425695</v>
      </c>
      <c r="C171" s="135">
        <f t="shared" si="9"/>
        <v>964.71362904793875</v>
      </c>
      <c r="D171" s="135">
        <f t="shared" si="10"/>
        <v>691.89747737775622</v>
      </c>
      <c r="E171" s="18">
        <f t="shared" si="11"/>
        <v>219814.07487643685</v>
      </c>
    </row>
    <row r="172" spans="1:5" ht="14.4" x14ac:dyDescent="0.3">
      <c r="A172" s="86">
        <v>162</v>
      </c>
      <c r="B172" s="192">
        <f t="shared" si="8"/>
        <v>1656.611106425695</v>
      </c>
      <c r="C172" s="135">
        <f t="shared" si="9"/>
        <v>961.68657758441111</v>
      </c>
      <c r="D172" s="135">
        <f t="shared" si="10"/>
        <v>694.92452884128386</v>
      </c>
      <c r="E172" s="18">
        <f t="shared" si="11"/>
        <v>219119.15034759557</v>
      </c>
    </row>
    <row r="173" spans="1:5" ht="14.4" x14ac:dyDescent="0.3">
      <c r="A173" s="86">
        <v>163</v>
      </c>
      <c r="B173" s="192">
        <f t="shared" si="8"/>
        <v>1656.611106425695</v>
      </c>
      <c r="C173" s="135">
        <f t="shared" si="9"/>
        <v>958.64628277073052</v>
      </c>
      <c r="D173" s="135">
        <f t="shared" si="10"/>
        <v>697.96482365496445</v>
      </c>
      <c r="E173" s="18">
        <f t="shared" si="11"/>
        <v>218421.1855239406</v>
      </c>
    </row>
    <row r="174" spans="1:5" ht="14.4" x14ac:dyDescent="0.3">
      <c r="A174" s="86">
        <v>164</v>
      </c>
      <c r="B174" s="192">
        <f t="shared" si="8"/>
        <v>1656.611106425695</v>
      </c>
      <c r="C174" s="135">
        <f t="shared" si="9"/>
        <v>955.59268666724006</v>
      </c>
      <c r="D174" s="135">
        <f t="shared" si="10"/>
        <v>701.01841975845491</v>
      </c>
      <c r="E174" s="18">
        <f t="shared" si="11"/>
        <v>217720.16710418215</v>
      </c>
    </row>
    <row r="175" spans="1:5" ht="14.4" x14ac:dyDescent="0.3">
      <c r="A175" s="86">
        <v>165</v>
      </c>
      <c r="B175" s="192">
        <f t="shared" si="8"/>
        <v>1656.611106425695</v>
      </c>
      <c r="C175" s="135">
        <f t="shared" si="9"/>
        <v>952.52573108079685</v>
      </c>
      <c r="D175" s="135">
        <f t="shared" si="10"/>
        <v>704.08537534489813</v>
      </c>
      <c r="E175" s="18">
        <f t="shared" si="11"/>
        <v>217016.08172883725</v>
      </c>
    </row>
    <row r="176" spans="1:5" ht="14.4" x14ac:dyDescent="0.3">
      <c r="A176" s="86">
        <v>166</v>
      </c>
      <c r="B176" s="192">
        <f t="shared" si="8"/>
        <v>1656.611106425695</v>
      </c>
      <c r="C176" s="135">
        <f t="shared" si="9"/>
        <v>949.44535756366281</v>
      </c>
      <c r="D176" s="135">
        <f t="shared" si="10"/>
        <v>707.16574886203216</v>
      </c>
      <c r="E176" s="18">
        <f t="shared" si="11"/>
        <v>216308.91597997522</v>
      </c>
    </row>
    <row r="177" spans="1:5" ht="14.4" x14ac:dyDescent="0.3">
      <c r="A177" s="86">
        <v>167</v>
      </c>
      <c r="B177" s="192">
        <f t="shared" si="8"/>
        <v>1656.611106425695</v>
      </c>
      <c r="C177" s="135">
        <f t="shared" si="9"/>
        <v>946.35150741239147</v>
      </c>
      <c r="D177" s="135">
        <f t="shared" si="10"/>
        <v>710.2595990133035</v>
      </c>
      <c r="E177" s="18">
        <f t="shared" si="11"/>
        <v>215598.65638096191</v>
      </c>
    </row>
    <row r="178" spans="1:5" ht="14.4" x14ac:dyDescent="0.3">
      <c r="A178" s="86">
        <v>168</v>
      </c>
      <c r="B178" s="192">
        <f t="shared" si="8"/>
        <v>1656.611106425695</v>
      </c>
      <c r="C178" s="135">
        <f t="shared" si="9"/>
        <v>943.24412166670822</v>
      </c>
      <c r="D178" s="135">
        <f t="shared" si="10"/>
        <v>713.36698475898675</v>
      </c>
      <c r="E178" s="18">
        <f t="shared" si="11"/>
        <v>214885.28939620292</v>
      </c>
    </row>
    <row r="179" spans="1:5" ht="14.4" x14ac:dyDescent="0.3">
      <c r="A179" s="86">
        <v>169</v>
      </c>
      <c r="B179" s="192">
        <f t="shared" si="8"/>
        <v>1656.611106425695</v>
      </c>
      <c r="C179" s="135">
        <f t="shared" si="9"/>
        <v>940.1231411083877</v>
      </c>
      <c r="D179" s="135">
        <f t="shared" si="10"/>
        <v>716.48796531730727</v>
      </c>
      <c r="E179" s="18">
        <f t="shared" si="11"/>
        <v>214168.80143088562</v>
      </c>
    </row>
    <row r="180" spans="1:5" ht="14.4" x14ac:dyDescent="0.3">
      <c r="A180" s="86">
        <v>170</v>
      </c>
      <c r="B180" s="192">
        <f t="shared" si="8"/>
        <v>1656.611106425695</v>
      </c>
      <c r="C180" s="135">
        <f t="shared" si="9"/>
        <v>936.9885062601245</v>
      </c>
      <c r="D180" s="135">
        <f t="shared" si="10"/>
        <v>719.62260016557047</v>
      </c>
      <c r="E180" s="18">
        <f t="shared" si="11"/>
        <v>213449.17883072005</v>
      </c>
    </row>
    <row r="181" spans="1:5" ht="14.4" x14ac:dyDescent="0.3">
      <c r="A181" s="86">
        <v>171</v>
      </c>
      <c r="B181" s="192">
        <f t="shared" si="8"/>
        <v>1656.611106425695</v>
      </c>
      <c r="C181" s="135">
        <f t="shared" si="9"/>
        <v>933.84015738440007</v>
      </c>
      <c r="D181" s="135">
        <f t="shared" si="10"/>
        <v>722.7709490412949</v>
      </c>
      <c r="E181" s="18">
        <f t="shared" si="11"/>
        <v>212726.40788167875</v>
      </c>
    </row>
    <row r="182" spans="1:5" ht="14.4" x14ac:dyDescent="0.3">
      <c r="A182" s="86">
        <v>172</v>
      </c>
      <c r="B182" s="192">
        <f t="shared" si="8"/>
        <v>1656.611106425695</v>
      </c>
      <c r="C182" s="135">
        <f t="shared" si="9"/>
        <v>930.6780344823444</v>
      </c>
      <c r="D182" s="135">
        <f t="shared" si="10"/>
        <v>725.93307194335057</v>
      </c>
      <c r="E182" s="18">
        <f t="shared" si="11"/>
        <v>212000.4748097354</v>
      </c>
    </row>
    <row r="183" spans="1:5" ht="14.4" x14ac:dyDescent="0.3">
      <c r="A183" s="86">
        <v>173</v>
      </c>
      <c r="B183" s="192">
        <f t="shared" si="8"/>
        <v>1656.611106425695</v>
      </c>
      <c r="C183" s="135">
        <f t="shared" si="9"/>
        <v>927.50207729259228</v>
      </c>
      <c r="D183" s="135">
        <f t="shared" si="10"/>
        <v>729.10902913310269</v>
      </c>
      <c r="E183" s="18">
        <f t="shared" si="11"/>
        <v>211271.3657806023</v>
      </c>
    </row>
    <row r="184" spans="1:5" ht="14.4" x14ac:dyDescent="0.3">
      <c r="A184" s="86">
        <v>174</v>
      </c>
      <c r="B184" s="192">
        <f t="shared" si="8"/>
        <v>1656.611106425695</v>
      </c>
      <c r="C184" s="135">
        <f t="shared" si="9"/>
        <v>924.31222529013496</v>
      </c>
      <c r="D184" s="135">
        <f t="shared" si="10"/>
        <v>732.29888113556001</v>
      </c>
      <c r="E184" s="18">
        <f t="shared" si="11"/>
        <v>210539.06689946674</v>
      </c>
    </row>
    <row r="185" spans="1:5" ht="14.4" x14ac:dyDescent="0.3">
      <c r="A185" s="86">
        <v>175</v>
      </c>
      <c r="B185" s="192">
        <f t="shared" si="8"/>
        <v>1656.611106425695</v>
      </c>
      <c r="C185" s="135">
        <f t="shared" si="9"/>
        <v>921.10841768516684</v>
      </c>
      <c r="D185" s="135">
        <f t="shared" si="10"/>
        <v>735.50268874052813</v>
      </c>
      <c r="E185" s="18">
        <f t="shared" si="11"/>
        <v>209803.56421072621</v>
      </c>
    </row>
    <row r="186" spans="1:5" ht="14.4" x14ac:dyDescent="0.3">
      <c r="A186" s="86">
        <v>176</v>
      </c>
      <c r="B186" s="192">
        <f t="shared" si="8"/>
        <v>1656.611106425695</v>
      </c>
      <c r="C186" s="135">
        <f t="shared" si="9"/>
        <v>917.89059342192706</v>
      </c>
      <c r="D186" s="135">
        <f t="shared" si="10"/>
        <v>738.72051300376791</v>
      </c>
      <c r="E186" s="18">
        <f t="shared" si="11"/>
        <v>209064.84369772245</v>
      </c>
    </row>
    <row r="187" spans="1:5" ht="14.4" x14ac:dyDescent="0.3">
      <c r="A187" s="86">
        <v>177</v>
      </c>
      <c r="B187" s="192">
        <f t="shared" si="8"/>
        <v>1656.611106425695</v>
      </c>
      <c r="C187" s="135">
        <f t="shared" si="9"/>
        <v>914.65869117753562</v>
      </c>
      <c r="D187" s="135">
        <f t="shared" si="10"/>
        <v>741.95241524815935</v>
      </c>
      <c r="E187" s="18">
        <f t="shared" si="11"/>
        <v>208322.8912824743</v>
      </c>
    </row>
    <row r="188" spans="1:5" ht="14.4" x14ac:dyDescent="0.3">
      <c r="A188" s="86">
        <v>178</v>
      </c>
      <c r="B188" s="192">
        <f t="shared" si="8"/>
        <v>1656.611106425695</v>
      </c>
      <c r="C188" s="135">
        <f t="shared" si="9"/>
        <v>911.41264936082496</v>
      </c>
      <c r="D188" s="135">
        <f t="shared" si="10"/>
        <v>745.19845706487001</v>
      </c>
      <c r="E188" s="18">
        <f t="shared" si="11"/>
        <v>207577.69282540944</v>
      </c>
    </row>
    <row r="189" spans="1:5" ht="14.4" x14ac:dyDescent="0.3">
      <c r="A189" s="86">
        <v>179</v>
      </c>
      <c r="B189" s="192">
        <f t="shared" si="8"/>
        <v>1656.611106425695</v>
      </c>
      <c r="C189" s="135">
        <f t="shared" si="9"/>
        <v>908.15240611116621</v>
      </c>
      <c r="D189" s="135">
        <f t="shared" si="10"/>
        <v>748.45870031452876</v>
      </c>
      <c r="E189" s="18">
        <f t="shared" si="11"/>
        <v>206829.2341250949</v>
      </c>
    </row>
    <row r="190" spans="1:5" ht="14.4" x14ac:dyDescent="0.3">
      <c r="A190" s="86">
        <v>180</v>
      </c>
      <c r="B190" s="192">
        <f t="shared" si="8"/>
        <v>1656.611106425695</v>
      </c>
      <c r="C190" s="135">
        <f t="shared" si="9"/>
        <v>904.87789929729013</v>
      </c>
      <c r="D190" s="135">
        <f t="shared" si="10"/>
        <v>751.73320712840484</v>
      </c>
      <c r="E190" s="18">
        <f t="shared" si="11"/>
        <v>206077.50091796648</v>
      </c>
    </row>
    <row r="191" spans="1:5" ht="14.4" x14ac:dyDescent="0.3">
      <c r="A191" s="86">
        <v>181</v>
      </c>
      <c r="B191" s="192">
        <f t="shared" si="8"/>
        <v>1656.611106425695</v>
      </c>
      <c r="C191" s="135">
        <f t="shared" si="9"/>
        <v>901.58906651610323</v>
      </c>
      <c r="D191" s="135">
        <f t="shared" si="10"/>
        <v>755.02203990959174</v>
      </c>
      <c r="E191" s="18">
        <f t="shared" si="11"/>
        <v>205322.47887805689</v>
      </c>
    </row>
    <row r="192" spans="1:5" ht="14.4" x14ac:dyDescent="0.3">
      <c r="A192" s="86">
        <v>182</v>
      </c>
      <c r="B192" s="192">
        <f t="shared" si="8"/>
        <v>1656.611106425695</v>
      </c>
      <c r="C192" s="135">
        <f t="shared" si="9"/>
        <v>898.2858450914988</v>
      </c>
      <c r="D192" s="135">
        <f t="shared" si="10"/>
        <v>758.32526133419617</v>
      </c>
      <c r="E192" s="18">
        <f t="shared" si="11"/>
        <v>204564.1536167227</v>
      </c>
    </row>
    <row r="193" spans="1:5" ht="14.4" x14ac:dyDescent="0.3">
      <c r="A193" s="86">
        <v>183</v>
      </c>
      <c r="B193" s="192">
        <f t="shared" si="8"/>
        <v>1656.611106425695</v>
      </c>
      <c r="C193" s="135">
        <f t="shared" si="9"/>
        <v>894.96817207316178</v>
      </c>
      <c r="D193" s="135">
        <f t="shared" si="10"/>
        <v>761.64293435253319</v>
      </c>
      <c r="E193" s="18">
        <f t="shared" si="11"/>
        <v>203802.51068237016</v>
      </c>
    </row>
    <row r="194" spans="1:5" ht="14.4" x14ac:dyDescent="0.3">
      <c r="A194" s="86">
        <v>184</v>
      </c>
      <c r="B194" s="192">
        <f t="shared" si="8"/>
        <v>1656.611106425695</v>
      </c>
      <c r="C194" s="135">
        <f t="shared" si="9"/>
        <v>891.63598423536939</v>
      </c>
      <c r="D194" s="135">
        <f t="shared" si="10"/>
        <v>764.97512219032558</v>
      </c>
      <c r="E194" s="18">
        <f t="shared" si="11"/>
        <v>203037.53556017985</v>
      </c>
    </row>
    <row r="195" spans="1:5" ht="14.4" x14ac:dyDescent="0.3">
      <c r="A195" s="86">
        <v>185</v>
      </c>
      <c r="B195" s="192">
        <f t="shared" si="8"/>
        <v>1656.611106425695</v>
      </c>
      <c r="C195" s="135">
        <f t="shared" si="9"/>
        <v>888.28921807578672</v>
      </c>
      <c r="D195" s="135">
        <f t="shared" si="10"/>
        <v>768.32188834990825</v>
      </c>
      <c r="E195" s="18">
        <f t="shared" si="11"/>
        <v>202269.21367182993</v>
      </c>
    </row>
    <row r="196" spans="1:5" ht="14.4" x14ac:dyDescent="0.3">
      <c r="A196" s="86">
        <v>186</v>
      </c>
      <c r="B196" s="192">
        <f t="shared" si="8"/>
        <v>1656.611106425695</v>
      </c>
      <c r="C196" s="135">
        <f t="shared" si="9"/>
        <v>884.92780981425585</v>
      </c>
      <c r="D196" s="135">
        <f t="shared" si="10"/>
        <v>771.68329661143912</v>
      </c>
      <c r="E196" s="18">
        <f t="shared" si="11"/>
        <v>201497.53037521848</v>
      </c>
    </row>
    <row r="197" spans="1:5" ht="14.4" x14ac:dyDescent="0.3">
      <c r="A197" s="86">
        <v>187</v>
      </c>
      <c r="B197" s="192">
        <f t="shared" si="8"/>
        <v>1656.611106425695</v>
      </c>
      <c r="C197" s="135">
        <f t="shared" si="9"/>
        <v>881.55169539158078</v>
      </c>
      <c r="D197" s="135">
        <f t="shared" si="10"/>
        <v>775.05941103411419</v>
      </c>
      <c r="E197" s="18">
        <f t="shared" si="11"/>
        <v>200722.47096418438</v>
      </c>
    </row>
    <row r="198" spans="1:5" ht="14.4" x14ac:dyDescent="0.3">
      <c r="A198" s="86">
        <v>188</v>
      </c>
      <c r="B198" s="192">
        <f t="shared" si="8"/>
        <v>1656.611106425695</v>
      </c>
      <c r="C198" s="135">
        <f t="shared" si="9"/>
        <v>878.16081046830652</v>
      </c>
      <c r="D198" s="135">
        <f t="shared" si="10"/>
        <v>778.45029595738845</v>
      </c>
      <c r="E198" s="18">
        <f t="shared" si="11"/>
        <v>199944.02066822699</v>
      </c>
    </row>
    <row r="199" spans="1:5" ht="14.4" x14ac:dyDescent="0.3">
      <c r="A199" s="86">
        <v>189</v>
      </c>
      <c r="B199" s="192">
        <f t="shared" si="8"/>
        <v>1656.611106425695</v>
      </c>
      <c r="C199" s="135">
        <f t="shared" si="9"/>
        <v>874.75509042349302</v>
      </c>
      <c r="D199" s="135">
        <f t="shared" si="10"/>
        <v>781.85601600220195</v>
      </c>
      <c r="E199" s="18">
        <f t="shared" si="11"/>
        <v>199162.1646522248</v>
      </c>
    </row>
    <row r="200" spans="1:5" ht="14.4" x14ac:dyDescent="0.3">
      <c r="A200" s="86">
        <v>190</v>
      </c>
      <c r="B200" s="192">
        <f t="shared" si="8"/>
        <v>1656.611106425695</v>
      </c>
      <c r="C200" s="135">
        <f t="shared" si="9"/>
        <v>871.33447035348343</v>
      </c>
      <c r="D200" s="135">
        <f t="shared" si="10"/>
        <v>785.27663607221155</v>
      </c>
      <c r="E200" s="18">
        <f t="shared" si="11"/>
        <v>198376.8880161526</v>
      </c>
    </row>
    <row r="201" spans="1:5" ht="14.4" x14ac:dyDescent="0.3">
      <c r="A201" s="86">
        <v>191</v>
      </c>
      <c r="B201" s="192">
        <f t="shared" si="8"/>
        <v>1656.611106425695</v>
      </c>
      <c r="C201" s="135">
        <f t="shared" si="9"/>
        <v>867.89888507066757</v>
      </c>
      <c r="D201" s="135">
        <f t="shared" si="10"/>
        <v>788.7122213550274</v>
      </c>
      <c r="E201" s="18">
        <f t="shared" si="11"/>
        <v>197588.17579479757</v>
      </c>
    </row>
    <row r="202" spans="1:5" ht="14.4" x14ac:dyDescent="0.3">
      <c r="A202" s="86">
        <v>192</v>
      </c>
      <c r="B202" s="192">
        <f t="shared" si="8"/>
        <v>1656.611106425695</v>
      </c>
      <c r="C202" s="135">
        <f t="shared" si="9"/>
        <v>864.44826910223924</v>
      </c>
      <c r="D202" s="135">
        <f t="shared" si="10"/>
        <v>792.16283732345573</v>
      </c>
      <c r="E202" s="18">
        <f t="shared" si="11"/>
        <v>196796.01295747413</v>
      </c>
    </row>
    <row r="203" spans="1:5" ht="14.4" x14ac:dyDescent="0.3">
      <c r="A203" s="86">
        <v>193</v>
      </c>
      <c r="B203" s="192">
        <f t="shared" si="8"/>
        <v>1656.611106425695</v>
      </c>
      <c r="C203" s="135">
        <f t="shared" si="9"/>
        <v>860.98255668894922</v>
      </c>
      <c r="D203" s="135">
        <f t="shared" si="10"/>
        <v>795.62854973674575</v>
      </c>
      <c r="E203" s="18">
        <f t="shared" si="11"/>
        <v>196000.38440773738</v>
      </c>
    </row>
    <row r="204" spans="1:5" ht="14.4" x14ac:dyDescent="0.3">
      <c r="A204" s="86">
        <v>194</v>
      </c>
      <c r="B204" s="192">
        <f t="shared" ref="B204:B267" si="12">-$B$7</f>
        <v>1656.611106425695</v>
      </c>
      <c r="C204" s="135">
        <f t="shared" ref="C204:C267" si="13">E203*$B$3</f>
        <v>857.50168178385093</v>
      </c>
      <c r="D204" s="135">
        <f t="shared" ref="D204:D267" si="14">B204-C204</f>
        <v>799.10942464184404</v>
      </c>
      <c r="E204" s="18">
        <f t="shared" ref="E204:E267" si="15">E203-D204</f>
        <v>195201.27498309553</v>
      </c>
    </row>
    <row r="205" spans="1:5" ht="14.4" x14ac:dyDescent="0.3">
      <c r="A205" s="86">
        <v>195</v>
      </c>
      <c r="B205" s="192">
        <f t="shared" si="12"/>
        <v>1656.611106425695</v>
      </c>
      <c r="C205" s="135">
        <f t="shared" si="13"/>
        <v>854.0055780510429</v>
      </c>
      <c r="D205" s="135">
        <f t="shared" si="14"/>
        <v>802.60552837465207</v>
      </c>
      <c r="E205" s="18">
        <f t="shared" si="15"/>
        <v>194398.66945472089</v>
      </c>
    </row>
    <row r="206" spans="1:5" ht="14.4" x14ac:dyDescent="0.3">
      <c r="A206" s="86">
        <v>196</v>
      </c>
      <c r="B206" s="192">
        <f t="shared" si="12"/>
        <v>1656.611106425695</v>
      </c>
      <c r="C206" s="135">
        <f t="shared" si="13"/>
        <v>850.49417886440381</v>
      </c>
      <c r="D206" s="135">
        <f t="shared" si="14"/>
        <v>806.11692756129116</v>
      </c>
      <c r="E206" s="18">
        <f t="shared" si="15"/>
        <v>193592.5525271596</v>
      </c>
    </row>
    <row r="207" spans="1:5" ht="14.4" x14ac:dyDescent="0.3">
      <c r="A207" s="86">
        <v>197</v>
      </c>
      <c r="B207" s="192">
        <f t="shared" si="12"/>
        <v>1656.611106425695</v>
      </c>
      <c r="C207" s="135">
        <f t="shared" si="13"/>
        <v>846.96741730632311</v>
      </c>
      <c r="D207" s="135">
        <f t="shared" si="14"/>
        <v>809.64368911937186</v>
      </c>
      <c r="E207" s="18">
        <f t="shared" si="15"/>
        <v>192782.90883804022</v>
      </c>
    </row>
    <row r="208" spans="1:5" ht="14.4" x14ac:dyDescent="0.3">
      <c r="A208" s="86">
        <v>198</v>
      </c>
      <c r="B208" s="192">
        <f t="shared" si="12"/>
        <v>1656.611106425695</v>
      </c>
      <c r="C208" s="135">
        <f t="shared" si="13"/>
        <v>843.42522616642589</v>
      </c>
      <c r="D208" s="135">
        <f t="shared" si="14"/>
        <v>813.18588025926908</v>
      </c>
      <c r="E208" s="18">
        <f t="shared" si="15"/>
        <v>191969.72295778096</v>
      </c>
    </row>
    <row r="209" spans="1:5" ht="14.4" x14ac:dyDescent="0.3">
      <c r="A209" s="86">
        <v>199</v>
      </c>
      <c r="B209" s="192">
        <f t="shared" si="12"/>
        <v>1656.611106425695</v>
      </c>
      <c r="C209" s="135">
        <f t="shared" si="13"/>
        <v>839.86753794029164</v>
      </c>
      <c r="D209" s="135">
        <f t="shared" si="14"/>
        <v>816.74356848540333</v>
      </c>
      <c r="E209" s="18">
        <f t="shared" si="15"/>
        <v>191152.97938929556</v>
      </c>
    </row>
    <row r="210" spans="1:5" ht="14.4" x14ac:dyDescent="0.3">
      <c r="A210" s="86">
        <v>200</v>
      </c>
      <c r="B210" s="192">
        <f t="shared" si="12"/>
        <v>1656.611106425695</v>
      </c>
      <c r="C210" s="135">
        <f t="shared" si="13"/>
        <v>836.29428482816797</v>
      </c>
      <c r="D210" s="135">
        <f t="shared" si="14"/>
        <v>820.316821597527</v>
      </c>
      <c r="E210" s="18">
        <f t="shared" si="15"/>
        <v>190332.66256769805</v>
      </c>
    </row>
    <row r="211" spans="1:5" ht="14.4" x14ac:dyDescent="0.3">
      <c r="A211" s="86">
        <v>201</v>
      </c>
      <c r="B211" s="192">
        <f t="shared" si="12"/>
        <v>1656.611106425695</v>
      </c>
      <c r="C211" s="135">
        <f t="shared" si="13"/>
        <v>832.70539873367886</v>
      </c>
      <c r="D211" s="135">
        <f t="shared" si="14"/>
        <v>823.90570769201611</v>
      </c>
      <c r="E211" s="18">
        <f t="shared" si="15"/>
        <v>189508.75686000602</v>
      </c>
    </row>
    <row r="212" spans="1:5" ht="14.4" x14ac:dyDescent="0.3">
      <c r="A212" s="86">
        <v>202</v>
      </c>
      <c r="B212" s="192">
        <f t="shared" si="12"/>
        <v>1656.611106425695</v>
      </c>
      <c r="C212" s="135">
        <f t="shared" si="13"/>
        <v>829.10081126252624</v>
      </c>
      <c r="D212" s="135">
        <f t="shared" si="14"/>
        <v>827.51029516316873</v>
      </c>
      <c r="E212" s="18">
        <f t="shared" si="15"/>
        <v>188681.24656484285</v>
      </c>
    </row>
    <row r="213" spans="1:5" ht="14.4" x14ac:dyDescent="0.3">
      <c r="A213" s="86">
        <v>203</v>
      </c>
      <c r="B213" s="192">
        <f t="shared" si="12"/>
        <v>1656.611106425695</v>
      </c>
      <c r="C213" s="135">
        <f t="shared" si="13"/>
        <v>825.48045372118736</v>
      </c>
      <c r="D213" s="135">
        <f t="shared" si="14"/>
        <v>831.13065270450761</v>
      </c>
      <c r="E213" s="18">
        <f t="shared" si="15"/>
        <v>187850.11591213834</v>
      </c>
    </row>
    <row r="214" spans="1:5" ht="14.4" x14ac:dyDescent="0.3">
      <c r="A214" s="86">
        <v>204</v>
      </c>
      <c r="B214" s="192">
        <f t="shared" si="12"/>
        <v>1656.611106425695</v>
      </c>
      <c r="C214" s="135">
        <f t="shared" si="13"/>
        <v>821.84425711560516</v>
      </c>
      <c r="D214" s="135">
        <f t="shared" si="14"/>
        <v>834.76684931008981</v>
      </c>
      <c r="E214" s="18">
        <f t="shared" si="15"/>
        <v>187015.34906282826</v>
      </c>
    </row>
    <row r="215" spans="1:5" ht="14.4" x14ac:dyDescent="0.3">
      <c r="A215" s="86">
        <v>205</v>
      </c>
      <c r="B215" s="192">
        <f t="shared" si="12"/>
        <v>1656.611106425695</v>
      </c>
      <c r="C215" s="135">
        <f t="shared" si="13"/>
        <v>818.19215214987355</v>
      </c>
      <c r="D215" s="135">
        <f t="shared" si="14"/>
        <v>838.41895427582142</v>
      </c>
      <c r="E215" s="18">
        <f t="shared" si="15"/>
        <v>186176.93010855245</v>
      </c>
    </row>
    <row r="216" spans="1:5" ht="14.4" x14ac:dyDescent="0.3">
      <c r="A216" s="86">
        <v>206</v>
      </c>
      <c r="B216" s="192">
        <f t="shared" si="12"/>
        <v>1656.611106425695</v>
      </c>
      <c r="C216" s="135">
        <f t="shared" si="13"/>
        <v>814.52406922491684</v>
      </c>
      <c r="D216" s="135">
        <f t="shared" si="14"/>
        <v>842.08703720077813</v>
      </c>
      <c r="E216" s="18">
        <f t="shared" si="15"/>
        <v>185334.84307135167</v>
      </c>
    </row>
    <row r="217" spans="1:5" ht="14.4" x14ac:dyDescent="0.3">
      <c r="A217" s="86">
        <v>207</v>
      </c>
      <c r="B217" s="192">
        <f t="shared" si="12"/>
        <v>1656.611106425695</v>
      </c>
      <c r="C217" s="135">
        <f t="shared" si="13"/>
        <v>810.83993843716348</v>
      </c>
      <c r="D217" s="135">
        <f t="shared" si="14"/>
        <v>845.77116798853149</v>
      </c>
      <c r="E217" s="18">
        <f t="shared" si="15"/>
        <v>184489.07190336313</v>
      </c>
    </row>
    <row r="218" spans="1:5" ht="14.4" x14ac:dyDescent="0.3">
      <c r="A218" s="86">
        <v>208</v>
      </c>
      <c r="B218" s="192">
        <f t="shared" si="12"/>
        <v>1656.611106425695</v>
      </c>
      <c r="C218" s="135">
        <f t="shared" si="13"/>
        <v>807.13968957721363</v>
      </c>
      <c r="D218" s="135">
        <f t="shared" si="14"/>
        <v>849.47141684848134</v>
      </c>
      <c r="E218" s="18">
        <f t="shared" si="15"/>
        <v>183639.60048651465</v>
      </c>
    </row>
    <row r="219" spans="1:5" ht="14.4" x14ac:dyDescent="0.3">
      <c r="A219" s="86">
        <v>209</v>
      </c>
      <c r="B219" s="192">
        <f t="shared" si="12"/>
        <v>1656.611106425695</v>
      </c>
      <c r="C219" s="135">
        <f t="shared" si="13"/>
        <v>803.42325212850153</v>
      </c>
      <c r="D219" s="135">
        <f t="shared" si="14"/>
        <v>853.18785429719344</v>
      </c>
      <c r="E219" s="18">
        <f t="shared" si="15"/>
        <v>182786.41263221746</v>
      </c>
    </row>
    <row r="220" spans="1:5" ht="14.4" x14ac:dyDescent="0.3">
      <c r="A220" s="86">
        <v>210</v>
      </c>
      <c r="B220" s="192">
        <f t="shared" si="12"/>
        <v>1656.611106425695</v>
      </c>
      <c r="C220" s="135">
        <f t="shared" si="13"/>
        <v>799.69055526595128</v>
      </c>
      <c r="D220" s="135">
        <f t="shared" si="14"/>
        <v>856.9205511597437</v>
      </c>
      <c r="E220" s="18">
        <f t="shared" si="15"/>
        <v>181929.49208105772</v>
      </c>
    </row>
    <row r="221" spans="1:5" ht="14.4" x14ac:dyDescent="0.3">
      <c r="A221" s="86">
        <v>211</v>
      </c>
      <c r="B221" s="192">
        <f t="shared" si="12"/>
        <v>1656.611106425695</v>
      </c>
      <c r="C221" s="135">
        <f t="shared" si="13"/>
        <v>795.94152785462745</v>
      </c>
      <c r="D221" s="135">
        <f t="shared" si="14"/>
        <v>860.66957857106752</v>
      </c>
      <c r="E221" s="18">
        <f t="shared" si="15"/>
        <v>181068.82250248664</v>
      </c>
    </row>
    <row r="222" spans="1:5" ht="14.4" x14ac:dyDescent="0.3">
      <c r="A222" s="86">
        <v>212</v>
      </c>
      <c r="B222" s="192">
        <f t="shared" si="12"/>
        <v>1656.611106425695</v>
      </c>
      <c r="C222" s="135">
        <f t="shared" si="13"/>
        <v>792.17609844837898</v>
      </c>
      <c r="D222" s="135">
        <f t="shared" si="14"/>
        <v>864.43500797731599</v>
      </c>
      <c r="E222" s="18">
        <f t="shared" si="15"/>
        <v>180204.38749450931</v>
      </c>
    </row>
    <row r="223" spans="1:5" ht="14.4" x14ac:dyDescent="0.3">
      <c r="A223" s="86">
        <v>213</v>
      </c>
      <c r="B223" s="192">
        <f t="shared" si="12"/>
        <v>1656.611106425695</v>
      </c>
      <c r="C223" s="135">
        <f t="shared" si="13"/>
        <v>788.39419528847816</v>
      </c>
      <c r="D223" s="135">
        <f t="shared" si="14"/>
        <v>868.21691113721681</v>
      </c>
      <c r="E223" s="18">
        <f t="shared" si="15"/>
        <v>179336.17058337209</v>
      </c>
    </row>
    <row r="224" spans="1:5" ht="14.4" x14ac:dyDescent="0.3">
      <c r="A224" s="86">
        <v>214</v>
      </c>
      <c r="B224" s="192">
        <f t="shared" si="12"/>
        <v>1656.611106425695</v>
      </c>
      <c r="C224" s="135">
        <f t="shared" si="13"/>
        <v>784.59574630225279</v>
      </c>
      <c r="D224" s="135">
        <f t="shared" si="14"/>
        <v>872.01536012344218</v>
      </c>
      <c r="E224" s="18">
        <f t="shared" si="15"/>
        <v>178464.15522324864</v>
      </c>
    </row>
    <row r="225" spans="1:5" ht="14.4" x14ac:dyDescent="0.3">
      <c r="A225" s="86">
        <v>215</v>
      </c>
      <c r="B225" s="192">
        <f t="shared" si="12"/>
        <v>1656.611106425695</v>
      </c>
      <c r="C225" s="135">
        <f t="shared" si="13"/>
        <v>780.78067910171274</v>
      </c>
      <c r="D225" s="135">
        <f t="shared" si="14"/>
        <v>875.83042732398224</v>
      </c>
      <c r="E225" s="18">
        <f t="shared" si="15"/>
        <v>177588.32479592465</v>
      </c>
    </row>
    <row r="226" spans="1:5" ht="14.4" x14ac:dyDescent="0.3">
      <c r="A226" s="86">
        <v>216</v>
      </c>
      <c r="B226" s="192">
        <f t="shared" si="12"/>
        <v>1656.611106425695</v>
      </c>
      <c r="C226" s="135">
        <f t="shared" si="13"/>
        <v>776.94892098217031</v>
      </c>
      <c r="D226" s="135">
        <f t="shared" si="14"/>
        <v>879.66218544352466</v>
      </c>
      <c r="E226" s="18">
        <f t="shared" si="15"/>
        <v>176708.66261048111</v>
      </c>
    </row>
    <row r="227" spans="1:5" ht="14.4" x14ac:dyDescent="0.3">
      <c r="A227" s="86">
        <v>217</v>
      </c>
      <c r="B227" s="192">
        <f t="shared" si="12"/>
        <v>1656.611106425695</v>
      </c>
      <c r="C227" s="135">
        <f t="shared" si="13"/>
        <v>773.10039892085479</v>
      </c>
      <c r="D227" s="135">
        <f t="shared" si="14"/>
        <v>883.51070750484018</v>
      </c>
      <c r="E227" s="18">
        <f t="shared" si="15"/>
        <v>175825.15190297627</v>
      </c>
    </row>
    <row r="228" spans="1:5" ht="14.4" x14ac:dyDescent="0.3">
      <c r="A228" s="86">
        <v>218</v>
      </c>
      <c r="B228" s="192">
        <f t="shared" si="12"/>
        <v>1656.611106425695</v>
      </c>
      <c r="C228" s="135">
        <f t="shared" si="13"/>
        <v>769.23503957552111</v>
      </c>
      <c r="D228" s="135">
        <f t="shared" si="14"/>
        <v>887.37606685017386</v>
      </c>
      <c r="E228" s="18">
        <f t="shared" si="15"/>
        <v>174937.77583612609</v>
      </c>
    </row>
    <row r="229" spans="1:5" ht="14.4" x14ac:dyDescent="0.3">
      <c r="A229" s="86">
        <v>219</v>
      </c>
      <c r="B229" s="192">
        <f t="shared" si="12"/>
        <v>1656.611106425695</v>
      </c>
      <c r="C229" s="135">
        <f t="shared" si="13"/>
        <v>765.35276928305154</v>
      </c>
      <c r="D229" s="135">
        <f t="shared" si="14"/>
        <v>891.25833714264343</v>
      </c>
      <c r="E229" s="18">
        <f t="shared" si="15"/>
        <v>174046.51749898345</v>
      </c>
    </row>
    <row r="230" spans="1:5" ht="14.4" x14ac:dyDescent="0.3">
      <c r="A230" s="86">
        <v>220</v>
      </c>
      <c r="B230" s="192">
        <f t="shared" si="12"/>
        <v>1656.611106425695</v>
      </c>
      <c r="C230" s="135">
        <f t="shared" si="13"/>
        <v>761.45351405805252</v>
      </c>
      <c r="D230" s="135">
        <f t="shared" si="14"/>
        <v>895.15759236764245</v>
      </c>
      <c r="E230" s="18">
        <f t="shared" si="15"/>
        <v>173151.35990661581</v>
      </c>
    </row>
    <row r="231" spans="1:5" ht="14.4" x14ac:dyDescent="0.3">
      <c r="A231" s="86">
        <v>221</v>
      </c>
      <c r="B231" s="192">
        <f t="shared" si="12"/>
        <v>1656.611106425695</v>
      </c>
      <c r="C231" s="135">
        <f t="shared" si="13"/>
        <v>757.53719959144405</v>
      </c>
      <c r="D231" s="135">
        <f t="shared" si="14"/>
        <v>899.07390683425092</v>
      </c>
      <c r="E231" s="18">
        <f t="shared" si="15"/>
        <v>172252.28599978157</v>
      </c>
    </row>
    <row r="232" spans="1:5" ht="14.4" x14ac:dyDescent="0.3">
      <c r="A232" s="86">
        <v>222</v>
      </c>
      <c r="B232" s="192">
        <f t="shared" si="12"/>
        <v>1656.611106425695</v>
      </c>
      <c r="C232" s="135">
        <f t="shared" si="13"/>
        <v>753.60375124904431</v>
      </c>
      <c r="D232" s="135">
        <f t="shared" si="14"/>
        <v>903.00735517665066</v>
      </c>
      <c r="E232" s="18">
        <f t="shared" si="15"/>
        <v>171349.27864460493</v>
      </c>
    </row>
    <row r="233" spans="1:5" ht="14.4" x14ac:dyDescent="0.3">
      <c r="A233" s="86">
        <v>223</v>
      </c>
      <c r="B233" s="192">
        <f t="shared" si="12"/>
        <v>1656.611106425695</v>
      </c>
      <c r="C233" s="135">
        <f t="shared" si="13"/>
        <v>749.65309407014649</v>
      </c>
      <c r="D233" s="135">
        <f t="shared" si="14"/>
        <v>906.95801235554848</v>
      </c>
      <c r="E233" s="18">
        <f t="shared" si="15"/>
        <v>170442.32063224938</v>
      </c>
    </row>
    <row r="234" spans="1:5" ht="14.4" x14ac:dyDescent="0.3">
      <c r="A234" s="86">
        <v>224</v>
      </c>
      <c r="B234" s="192">
        <f t="shared" si="12"/>
        <v>1656.611106425695</v>
      </c>
      <c r="C234" s="135">
        <f t="shared" si="13"/>
        <v>745.68515276609094</v>
      </c>
      <c r="D234" s="135">
        <f t="shared" si="14"/>
        <v>910.92595365960403</v>
      </c>
      <c r="E234" s="18">
        <f t="shared" si="15"/>
        <v>169531.39467858977</v>
      </c>
    </row>
    <row r="235" spans="1:5" ht="14.4" x14ac:dyDescent="0.3">
      <c r="A235" s="86">
        <v>225</v>
      </c>
      <c r="B235" s="192">
        <f t="shared" si="12"/>
        <v>1656.611106425695</v>
      </c>
      <c r="C235" s="135">
        <f t="shared" si="13"/>
        <v>741.69985171883013</v>
      </c>
      <c r="D235" s="135">
        <f t="shared" si="14"/>
        <v>914.91125470686484</v>
      </c>
      <c r="E235" s="18">
        <f t="shared" si="15"/>
        <v>168616.48342388292</v>
      </c>
    </row>
    <row r="236" spans="1:5" ht="14.4" x14ac:dyDescent="0.3">
      <c r="A236" s="86">
        <v>226</v>
      </c>
      <c r="B236" s="192">
        <f t="shared" si="12"/>
        <v>1656.611106425695</v>
      </c>
      <c r="C236" s="135">
        <f t="shared" si="13"/>
        <v>737.69711497948765</v>
      </c>
      <c r="D236" s="135">
        <f t="shared" si="14"/>
        <v>918.91399144620732</v>
      </c>
      <c r="E236" s="18">
        <f t="shared" si="15"/>
        <v>167697.56943243672</v>
      </c>
    </row>
    <row r="237" spans="1:5" ht="14.4" x14ac:dyDescent="0.3">
      <c r="A237" s="86">
        <v>227</v>
      </c>
      <c r="B237" s="192">
        <f t="shared" si="12"/>
        <v>1656.611106425695</v>
      </c>
      <c r="C237" s="135">
        <f t="shared" si="13"/>
        <v>733.67686626691057</v>
      </c>
      <c r="D237" s="135">
        <f t="shared" si="14"/>
        <v>922.93424015878441</v>
      </c>
      <c r="E237" s="18">
        <f t="shared" si="15"/>
        <v>166774.63519227793</v>
      </c>
    </row>
    <row r="238" spans="1:5" ht="14.4" x14ac:dyDescent="0.3">
      <c r="A238" s="86">
        <v>228</v>
      </c>
      <c r="B238" s="192">
        <f t="shared" si="12"/>
        <v>1656.611106425695</v>
      </c>
      <c r="C238" s="135">
        <f t="shared" si="13"/>
        <v>729.63902896621585</v>
      </c>
      <c r="D238" s="135">
        <f t="shared" si="14"/>
        <v>926.97207745947912</v>
      </c>
      <c r="E238" s="18">
        <f t="shared" si="15"/>
        <v>165847.66311481845</v>
      </c>
    </row>
    <row r="239" spans="1:5" ht="14.4" x14ac:dyDescent="0.3">
      <c r="A239" s="86">
        <v>229</v>
      </c>
      <c r="B239" s="192">
        <f t="shared" si="12"/>
        <v>1656.611106425695</v>
      </c>
      <c r="C239" s="135">
        <f t="shared" si="13"/>
        <v>725.58352612733063</v>
      </c>
      <c r="D239" s="135">
        <f t="shared" si="14"/>
        <v>931.02758029836434</v>
      </c>
      <c r="E239" s="18">
        <f t="shared" si="15"/>
        <v>164916.63553452009</v>
      </c>
    </row>
    <row r="240" spans="1:5" ht="14.4" x14ac:dyDescent="0.3">
      <c r="A240" s="86">
        <v>230</v>
      </c>
      <c r="B240" s="192">
        <f t="shared" si="12"/>
        <v>1656.611106425695</v>
      </c>
      <c r="C240" s="135">
        <f t="shared" si="13"/>
        <v>721.51028046352531</v>
      </c>
      <c r="D240" s="135">
        <f t="shared" si="14"/>
        <v>935.10082596216967</v>
      </c>
      <c r="E240" s="18">
        <f t="shared" si="15"/>
        <v>163981.53470855791</v>
      </c>
    </row>
    <row r="241" spans="1:5" ht="14.4" x14ac:dyDescent="0.3">
      <c r="A241" s="86">
        <v>231</v>
      </c>
      <c r="B241" s="192">
        <f t="shared" si="12"/>
        <v>1656.611106425695</v>
      </c>
      <c r="C241" s="135">
        <f t="shared" si="13"/>
        <v>717.41921434994083</v>
      </c>
      <c r="D241" s="135">
        <f t="shared" si="14"/>
        <v>939.19189207575414</v>
      </c>
      <c r="E241" s="18">
        <f t="shared" si="15"/>
        <v>163042.34281648215</v>
      </c>
    </row>
    <row r="242" spans="1:5" ht="14.4" x14ac:dyDescent="0.3">
      <c r="A242" s="86">
        <v>232</v>
      </c>
      <c r="B242" s="192">
        <f t="shared" si="12"/>
        <v>1656.611106425695</v>
      </c>
      <c r="C242" s="135">
        <f t="shared" si="13"/>
        <v>713.31024982210931</v>
      </c>
      <c r="D242" s="135">
        <f t="shared" si="14"/>
        <v>943.30085660358566</v>
      </c>
      <c r="E242" s="18">
        <f t="shared" si="15"/>
        <v>162099.04195987858</v>
      </c>
    </row>
    <row r="243" spans="1:5" ht="14.4" x14ac:dyDescent="0.3">
      <c r="A243" s="86">
        <v>233</v>
      </c>
      <c r="B243" s="192">
        <f t="shared" si="12"/>
        <v>1656.611106425695</v>
      </c>
      <c r="C243" s="135">
        <f t="shared" si="13"/>
        <v>709.1833085744687</v>
      </c>
      <c r="D243" s="135">
        <f t="shared" si="14"/>
        <v>947.42779785122627</v>
      </c>
      <c r="E243" s="18">
        <f t="shared" si="15"/>
        <v>161151.61416202734</v>
      </c>
    </row>
    <row r="244" spans="1:5" ht="14.4" x14ac:dyDescent="0.3">
      <c r="A244" s="86">
        <v>234</v>
      </c>
      <c r="B244" s="192">
        <f t="shared" si="12"/>
        <v>1656.611106425695</v>
      </c>
      <c r="C244" s="135">
        <f t="shared" si="13"/>
        <v>705.0383119588696</v>
      </c>
      <c r="D244" s="135">
        <f t="shared" si="14"/>
        <v>951.57279446682537</v>
      </c>
      <c r="E244" s="18">
        <f t="shared" si="15"/>
        <v>160200.04136756051</v>
      </c>
    </row>
    <row r="245" spans="1:5" ht="14.4" x14ac:dyDescent="0.3">
      <c r="A245" s="86">
        <v>235</v>
      </c>
      <c r="B245" s="192">
        <f t="shared" si="12"/>
        <v>1656.611106425695</v>
      </c>
      <c r="C245" s="135">
        <f t="shared" si="13"/>
        <v>700.87518098307714</v>
      </c>
      <c r="D245" s="135">
        <f t="shared" si="14"/>
        <v>955.73592544261783</v>
      </c>
      <c r="E245" s="18">
        <f t="shared" si="15"/>
        <v>159244.30544211788</v>
      </c>
    </row>
    <row r="246" spans="1:5" ht="14.4" x14ac:dyDescent="0.3">
      <c r="A246" s="86">
        <v>236</v>
      </c>
      <c r="B246" s="192">
        <f t="shared" si="12"/>
        <v>1656.611106425695</v>
      </c>
      <c r="C246" s="135">
        <f t="shared" si="13"/>
        <v>696.69383630926563</v>
      </c>
      <c r="D246" s="135">
        <f t="shared" si="14"/>
        <v>959.91727011642934</v>
      </c>
      <c r="E246" s="18">
        <f t="shared" si="15"/>
        <v>158284.38817200146</v>
      </c>
    </row>
    <row r="247" spans="1:5" ht="14.4" x14ac:dyDescent="0.3">
      <c r="A247" s="86">
        <v>237</v>
      </c>
      <c r="B247" s="192">
        <f t="shared" si="12"/>
        <v>1656.611106425695</v>
      </c>
      <c r="C247" s="135">
        <f t="shared" si="13"/>
        <v>692.49419825250629</v>
      </c>
      <c r="D247" s="135">
        <f t="shared" si="14"/>
        <v>964.11690817318868</v>
      </c>
      <c r="E247" s="18">
        <f t="shared" si="15"/>
        <v>157320.27126382827</v>
      </c>
    </row>
    <row r="248" spans="1:5" ht="14.4" x14ac:dyDescent="0.3">
      <c r="A248" s="86">
        <v>238</v>
      </c>
      <c r="B248" s="192">
        <f t="shared" si="12"/>
        <v>1656.611106425695</v>
      </c>
      <c r="C248" s="135">
        <f t="shared" si="13"/>
        <v>688.27618677924863</v>
      </c>
      <c r="D248" s="135">
        <f t="shared" si="14"/>
        <v>968.33491964644634</v>
      </c>
      <c r="E248" s="18">
        <f t="shared" si="15"/>
        <v>156351.93634418183</v>
      </c>
    </row>
    <row r="249" spans="1:5" ht="14.4" x14ac:dyDescent="0.3">
      <c r="A249" s="86">
        <v>239</v>
      </c>
      <c r="B249" s="192">
        <f t="shared" si="12"/>
        <v>1656.611106425695</v>
      </c>
      <c r="C249" s="135">
        <f t="shared" si="13"/>
        <v>684.03972150579546</v>
      </c>
      <c r="D249" s="135">
        <f t="shared" si="14"/>
        <v>972.57138491989951</v>
      </c>
      <c r="E249" s="18">
        <f t="shared" si="15"/>
        <v>155379.36495926193</v>
      </c>
    </row>
    <row r="250" spans="1:5" ht="14.4" x14ac:dyDescent="0.3">
      <c r="A250" s="86">
        <v>240</v>
      </c>
      <c r="B250" s="192">
        <f t="shared" si="12"/>
        <v>1656.611106425695</v>
      </c>
      <c r="C250" s="135">
        <f t="shared" si="13"/>
        <v>679.78472169677093</v>
      </c>
      <c r="D250" s="135">
        <f t="shared" si="14"/>
        <v>976.82638472892404</v>
      </c>
      <c r="E250" s="18">
        <f t="shared" si="15"/>
        <v>154402.53857453301</v>
      </c>
    </row>
    <row r="251" spans="1:5" ht="14.4" x14ac:dyDescent="0.3">
      <c r="A251" s="86">
        <v>241</v>
      </c>
      <c r="B251" s="192">
        <f t="shared" si="12"/>
        <v>1656.611106425695</v>
      </c>
      <c r="C251" s="135">
        <f t="shared" si="13"/>
        <v>675.51110626358184</v>
      </c>
      <c r="D251" s="135">
        <f t="shared" si="14"/>
        <v>981.10000016211313</v>
      </c>
      <c r="E251" s="18">
        <f t="shared" si="15"/>
        <v>153421.4385743709</v>
      </c>
    </row>
    <row r="252" spans="1:5" ht="14.4" x14ac:dyDescent="0.3">
      <c r="A252" s="86">
        <v>242</v>
      </c>
      <c r="B252" s="192">
        <f t="shared" si="12"/>
        <v>1656.611106425695</v>
      </c>
      <c r="C252" s="135">
        <f t="shared" si="13"/>
        <v>671.21879376287256</v>
      </c>
      <c r="D252" s="135">
        <f t="shared" si="14"/>
        <v>985.39231266282241</v>
      </c>
      <c r="E252" s="18">
        <f t="shared" si="15"/>
        <v>152436.04626170808</v>
      </c>
    </row>
    <row r="253" spans="1:5" ht="14.4" x14ac:dyDescent="0.3">
      <c r="A253" s="86">
        <v>243</v>
      </c>
      <c r="B253" s="192">
        <f t="shared" si="12"/>
        <v>1656.611106425695</v>
      </c>
      <c r="C253" s="135">
        <f t="shared" si="13"/>
        <v>666.90770239497272</v>
      </c>
      <c r="D253" s="135">
        <f t="shared" si="14"/>
        <v>989.70340403072225</v>
      </c>
      <c r="E253" s="18">
        <f t="shared" si="15"/>
        <v>151446.34285767734</v>
      </c>
    </row>
    <row r="254" spans="1:5" ht="14.4" x14ac:dyDescent="0.3">
      <c r="A254" s="86">
        <v>244</v>
      </c>
      <c r="B254" s="192">
        <f t="shared" si="12"/>
        <v>1656.611106425695</v>
      </c>
      <c r="C254" s="135">
        <f t="shared" si="13"/>
        <v>662.57775000233835</v>
      </c>
      <c r="D254" s="135">
        <f t="shared" si="14"/>
        <v>994.03335642335662</v>
      </c>
      <c r="E254" s="18">
        <f t="shared" si="15"/>
        <v>150452.309501254</v>
      </c>
    </row>
    <row r="255" spans="1:5" ht="14.4" x14ac:dyDescent="0.3">
      <c r="A255" s="86">
        <v>245</v>
      </c>
      <c r="B255" s="192">
        <f t="shared" si="12"/>
        <v>1656.611106425695</v>
      </c>
      <c r="C255" s="135">
        <f t="shared" si="13"/>
        <v>658.22885406798616</v>
      </c>
      <c r="D255" s="135">
        <f t="shared" si="14"/>
        <v>998.38225235770881</v>
      </c>
      <c r="E255" s="18">
        <f t="shared" si="15"/>
        <v>149453.9272488963</v>
      </c>
    </row>
    <row r="256" spans="1:5" ht="14.4" x14ac:dyDescent="0.3">
      <c r="A256" s="86">
        <v>246</v>
      </c>
      <c r="B256" s="192">
        <f t="shared" si="12"/>
        <v>1656.611106425695</v>
      </c>
      <c r="C256" s="135">
        <f t="shared" si="13"/>
        <v>653.86093171392122</v>
      </c>
      <c r="D256" s="135">
        <f t="shared" si="14"/>
        <v>1002.7501747117738</v>
      </c>
      <c r="E256" s="18">
        <f t="shared" si="15"/>
        <v>148451.17707418452</v>
      </c>
    </row>
    <row r="257" spans="1:5" ht="14.4" x14ac:dyDescent="0.3">
      <c r="A257" s="86">
        <v>247</v>
      </c>
      <c r="B257" s="192">
        <f t="shared" si="12"/>
        <v>1656.611106425695</v>
      </c>
      <c r="C257" s="135">
        <f t="shared" si="13"/>
        <v>649.47389969955725</v>
      </c>
      <c r="D257" s="135">
        <f t="shared" si="14"/>
        <v>1007.1372067261377</v>
      </c>
      <c r="E257" s="18">
        <f t="shared" si="15"/>
        <v>147444.0398674584</v>
      </c>
    </row>
    <row r="258" spans="1:5" ht="14.4" x14ac:dyDescent="0.3">
      <c r="A258" s="86">
        <v>248</v>
      </c>
      <c r="B258" s="192">
        <f t="shared" si="12"/>
        <v>1656.611106425695</v>
      </c>
      <c r="C258" s="135">
        <f t="shared" si="13"/>
        <v>645.0676744201304</v>
      </c>
      <c r="D258" s="135">
        <f t="shared" si="14"/>
        <v>1011.5434320055646</v>
      </c>
      <c r="E258" s="18">
        <f t="shared" si="15"/>
        <v>146432.49643545283</v>
      </c>
    </row>
    <row r="259" spans="1:5" ht="14.4" x14ac:dyDescent="0.3">
      <c r="A259" s="86">
        <v>249</v>
      </c>
      <c r="B259" s="192">
        <f t="shared" si="12"/>
        <v>1656.611106425695</v>
      </c>
      <c r="C259" s="135">
        <f t="shared" si="13"/>
        <v>640.64217190510612</v>
      </c>
      <c r="D259" s="135">
        <f t="shared" si="14"/>
        <v>1015.9689345205888</v>
      </c>
      <c r="E259" s="18">
        <f t="shared" si="15"/>
        <v>145416.52750093225</v>
      </c>
    </row>
    <row r="260" spans="1:5" ht="14.4" x14ac:dyDescent="0.3">
      <c r="A260" s="86">
        <v>250</v>
      </c>
      <c r="B260" s="192">
        <f t="shared" si="12"/>
        <v>1656.611106425695</v>
      </c>
      <c r="C260" s="135">
        <f t="shared" si="13"/>
        <v>636.19730781657859</v>
      </c>
      <c r="D260" s="135">
        <f t="shared" si="14"/>
        <v>1020.4137986091164</v>
      </c>
      <c r="E260" s="18">
        <f t="shared" si="15"/>
        <v>144396.11370232314</v>
      </c>
    </row>
    <row r="261" spans="1:5" ht="14.4" x14ac:dyDescent="0.3">
      <c r="A261" s="86">
        <v>251</v>
      </c>
      <c r="B261" s="192">
        <f t="shared" si="12"/>
        <v>1656.611106425695</v>
      </c>
      <c r="C261" s="135">
        <f t="shared" si="13"/>
        <v>631.73299744766371</v>
      </c>
      <c r="D261" s="135">
        <f t="shared" si="14"/>
        <v>1024.8781089780314</v>
      </c>
      <c r="E261" s="18">
        <f t="shared" si="15"/>
        <v>143371.2355933451</v>
      </c>
    </row>
    <row r="262" spans="1:5" ht="14.4" x14ac:dyDescent="0.3">
      <c r="A262" s="86">
        <v>252</v>
      </c>
      <c r="B262" s="192">
        <f t="shared" si="12"/>
        <v>1656.611106425695</v>
      </c>
      <c r="C262" s="135">
        <f t="shared" si="13"/>
        <v>627.2491557208848</v>
      </c>
      <c r="D262" s="135">
        <f t="shared" si="14"/>
        <v>1029.3619507048102</v>
      </c>
      <c r="E262" s="18">
        <f t="shared" si="15"/>
        <v>142341.8736426403</v>
      </c>
    </row>
    <row r="263" spans="1:5" ht="14.4" x14ac:dyDescent="0.3">
      <c r="A263" s="86">
        <v>253</v>
      </c>
      <c r="B263" s="192">
        <f t="shared" si="12"/>
        <v>1656.611106425695</v>
      </c>
      <c r="C263" s="135">
        <f t="shared" si="13"/>
        <v>622.7456971865513</v>
      </c>
      <c r="D263" s="135">
        <f t="shared" si="14"/>
        <v>1033.8654092391437</v>
      </c>
      <c r="E263" s="18">
        <f t="shared" si="15"/>
        <v>141308.00823340117</v>
      </c>
    </row>
    <row r="264" spans="1:5" ht="14.4" x14ac:dyDescent="0.3">
      <c r="A264" s="86">
        <v>254</v>
      </c>
      <c r="B264" s="192">
        <f t="shared" si="12"/>
        <v>1656.611106425695</v>
      </c>
      <c r="C264" s="135">
        <f t="shared" si="13"/>
        <v>618.22253602113005</v>
      </c>
      <c r="D264" s="135">
        <f t="shared" si="14"/>
        <v>1038.3885704045649</v>
      </c>
      <c r="E264" s="18">
        <f t="shared" si="15"/>
        <v>140269.61966299661</v>
      </c>
    </row>
    <row r="265" spans="1:5" ht="14.4" x14ac:dyDescent="0.3">
      <c r="A265" s="86">
        <v>255</v>
      </c>
      <c r="B265" s="192">
        <f t="shared" si="12"/>
        <v>1656.611106425695</v>
      </c>
      <c r="C265" s="135">
        <f t="shared" si="13"/>
        <v>613.67958602561009</v>
      </c>
      <c r="D265" s="135">
        <f t="shared" si="14"/>
        <v>1042.931520400085</v>
      </c>
      <c r="E265" s="18">
        <f t="shared" si="15"/>
        <v>139226.68814259654</v>
      </c>
    </row>
    <row r="266" spans="1:5" ht="14.4" x14ac:dyDescent="0.3">
      <c r="A266" s="86">
        <v>256</v>
      </c>
      <c r="B266" s="192">
        <f t="shared" si="12"/>
        <v>1656.611106425695</v>
      </c>
      <c r="C266" s="135">
        <f t="shared" si="13"/>
        <v>609.11676062385982</v>
      </c>
      <c r="D266" s="135">
        <f t="shared" si="14"/>
        <v>1047.4943458018352</v>
      </c>
      <c r="E266" s="18">
        <f t="shared" si="15"/>
        <v>138179.19379679472</v>
      </c>
    </row>
    <row r="267" spans="1:5" ht="14.4" x14ac:dyDescent="0.3">
      <c r="A267" s="86">
        <v>257</v>
      </c>
      <c r="B267" s="192">
        <f t="shared" si="12"/>
        <v>1656.611106425695</v>
      </c>
      <c r="C267" s="135">
        <f t="shared" si="13"/>
        <v>604.53397286097686</v>
      </c>
      <c r="D267" s="135">
        <f t="shared" si="14"/>
        <v>1052.0771335647182</v>
      </c>
      <c r="E267" s="18">
        <f t="shared" si="15"/>
        <v>137127.11666323</v>
      </c>
    </row>
    <row r="268" spans="1:5" ht="14.4" x14ac:dyDescent="0.3">
      <c r="A268" s="86">
        <v>258</v>
      </c>
      <c r="B268" s="192">
        <f t="shared" ref="B268:B331" si="16">-$B$7</f>
        <v>1656.611106425695</v>
      </c>
      <c r="C268" s="135">
        <f t="shared" ref="C268:C331" si="17">E267*$B$3</f>
        <v>599.9311354016312</v>
      </c>
      <c r="D268" s="135">
        <f t="shared" ref="D268:D331" si="18">B268-C268</f>
        <v>1056.6799710240639</v>
      </c>
      <c r="E268" s="18">
        <f t="shared" ref="E268:E331" si="19">E267-D268</f>
        <v>136070.43669220593</v>
      </c>
    </row>
    <row r="269" spans="1:5" ht="14.4" x14ac:dyDescent="0.3">
      <c r="A269" s="86">
        <v>259</v>
      </c>
      <c r="B269" s="192">
        <f t="shared" si="16"/>
        <v>1656.611106425695</v>
      </c>
      <c r="C269" s="135">
        <f t="shared" si="17"/>
        <v>595.30816052840089</v>
      </c>
      <c r="D269" s="135">
        <f t="shared" si="18"/>
        <v>1061.3029458972942</v>
      </c>
      <c r="E269" s="18">
        <f t="shared" si="19"/>
        <v>135009.13374630862</v>
      </c>
    </row>
    <row r="270" spans="1:5" ht="14.4" x14ac:dyDescent="0.3">
      <c r="A270" s="86">
        <v>260</v>
      </c>
      <c r="B270" s="192">
        <f t="shared" si="16"/>
        <v>1656.611106425695</v>
      </c>
      <c r="C270" s="135">
        <f t="shared" si="17"/>
        <v>590.66496014010022</v>
      </c>
      <c r="D270" s="135">
        <f t="shared" si="18"/>
        <v>1065.9461462855948</v>
      </c>
      <c r="E270" s="18">
        <f t="shared" si="19"/>
        <v>133943.18760002303</v>
      </c>
    </row>
    <row r="271" spans="1:5" ht="14.4" x14ac:dyDescent="0.3">
      <c r="A271" s="86">
        <v>261</v>
      </c>
      <c r="B271" s="192">
        <f t="shared" si="16"/>
        <v>1656.611106425695</v>
      </c>
      <c r="C271" s="135">
        <f t="shared" si="17"/>
        <v>586.00144575010063</v>
      </c>
      <c r="D271" s="135">
        <f t="shared" si="18"/>
        <v>1070.6096606755943</v>
      </c>
      <c r="E271" s="18">
        <f t="shared" si="19"/>
        <v>132872.57793934742</v>
      </c>
    </row>
    <row r="272" spans="1:5" ht="14.4" x14ac:dyDescent="0.3">
      <c r="A272" s="86">
        <v>262</v>
      </c>
      <c r="B272" s="192">
        <f t="shared" si="16"/>
        <v>1656.611106425695</v>
      </c>
      <c r="C272" s="135">
        <f t="shared" si="17"/>
        <v>581.31752848464487</v>
      </c>
      <c r="D272" s="135">
        <f t="shared" si="18"/>
        <v>1075.29357794105</v>
      </c>
      <c r="E272" s="18">
        <f t="shared" si="19"/>
        <v>131797.28436140637</v>
      </c>
    </row>
    <row r="273" spans="1:5" ht="14.4" x14ac:dyDescent="0.3">
      <c r="A273" s="86">
        <v>263</v>
      </c>
      <c r="B273" s="192">
        <f t="shared" si="16"/>
        <v>1656.611106425695</v>
      </c>
      <c r="C273" s="135">
        <f t="shared" si="17"/>
        <v>576.61311908115283</v>
      </c>
      <c r="D273" s="135">
        <f t="shared" si="18"/>
        <v>1079.9979873445423</v>
      </c>
      <c r="E273" s="18">
        <f t="shared" si="19"/>
        <v>130717.28637406183</v>
      </c>
    </row>
    <row r="274" spans="1:5" ht="14.4" x14ac:dyDescent="0.3">
      <c r="A274" s="86">
        <v>264</v>
      </c>
      <c r="B274" s="192">
        <f t="shared" si="16"/>
        <v>1656.611106425695</v>
      </c>
      <c r="C274" s="135">
        <f t="shared" si="17"/>
        <v>571.88812788652046</v>
      </c>
      <c r="D274" s="135">
        <f t="shared" si="18"/>
        <v>1084.7229785391746</v>
      </c>
      <c r="E274" s="18">
        <f t="shared" si="19"/>
        <v>129632.56339552267</v>
      </c>
    </row>
    <row r="275" spans="1:5" ht="14.4" x14ac:dyDescent="0.3">
      <c r="A275" s="86">
        <v>265</v>
      </c>
      <c r="B275" s="192">
        <f t="shared" si="16"/>
        <v>1656.611106425695</v>
      </c>
      <c r="C275" s="135">
        <f t="shared" si="17"/>
        <v>567.14246485541162</v>
      </c>
      <c r="D275" s="135">
        <f t="shared" si="18"/>
        <v>1089.4686415702834</v>
      </c>
      <c r="E275" s="18">
        <f t="shared" si="19"/>
        <v>128543.09475395238</v>
      </c>
    </row>
    <row r="276" spans="1:5" ht="14.4" x14ac:dyDescent="0.3">
      <c r="A276" s="86">
        <v>266</v>
      </c>
      <c r="B276" s="192">
        <f t="shared" si="16"/>
        <v>1656.611106425695</v>
      </c>
      <c r="C276" s="135">
        <f t="shared" si="17"/>
        <v>562.3760395485416</v>
      </c>
      <c r="D276" s="135">
        <f t="shared" si="18"/>
        <v>1094.2350668771533</v>
      </c>
      <c r="E276" s="18">
        <f t="shared" si="19"/>
        <v>127448.85968707522</v>
      </c>
    </row>
    <row r="277" spans="1:5" ht="14.4" x14ac:dyDescent="0.3">
      <c r="A277" s="86">
        <v>267</v>
      </c>
      <c r="B277" s="192">
        <f t="shared" si="16"/>
        <v>1656.611106425695</v>
      </c>
      <c r="C277" s="135">
        <f t="shared" si="17"/>
        <v>557.58876113095403</v>
      </c>
      <c r="D277" s="135">
        <f t="shared" si="18"/>
        <v>1099.0223452947409</v>
      </c>
      <c r="E277" s="18">
        <f t="shared" si="19"/>
        <v>126349.83734178048</v>
      </c>
    </row>
    <row r="278" spans="1:5" ht="14.4" x14ac:dyDescent="0.3">
      <c r="A278" s="86">
        <v>268</v>
      </c>
      <c r="B278" s="192">
        <f t="shared" si="16"/>
        <v>1656.611106425695</v>
      </c>
      <c r="C278" s="135">
        <f t="shared" si="17"/>
        <v>552.78053837028961</v>
      </c>
      <c r="D278" s="135">
        <f t="shared" si="18"/>
        <v>1103.8305680554054</v>
      </c>
      <c r="E278" s="18">
        <f t="shared" si="19"/>
        <v>125246.00677372508</v>
      </c>
    </row>
    <row r="279" spans="1:5" ht="14.4" x14ac:dyDescent="0.3">
      <c r="A279" s="86">
        <v>269</v>
      </c>
      <c r="B279" s="192">
        <f t="shared" si="16"/>
        <v>1656.611106425695</v>
      </c>
      <c r="C279" s="135">
        <f t="shared" si="17"/>
        <v>547.95127963504717</v>
      </c>
      <c r="D279" s="135">
        <f t="shared" si="18"/>
        <v>1108.6598267906479</v>
      </c>
      <c r="E279" s="18">
        <f t="shared" si="19"/>
        <v>124137.34694693443</v>
      </c>
    </row>
    <row r="280" spans="1:5" ht="14.4" x14ac:dyDescent="0.3">
      <c r="A280" s="86">
        <v>270</v>
      </c>
      <c r="B280" s="192">
        <f t="shared" si="16"/>
        <v>1656.611106425695</v>
      </c>
      <c r="C280" s="135">
        <f t="shared" si="17"/>
        <v>543.10089289283803</v>
      </c>
      <c r="D280" s="135">
        <f t="shared" si="18"/>
        <v>1113.5102135328571</v>
      </c>
      <c r="E280" s="18">
        <f t="shared" si="19"/>
        <v>123023.83673340156</v>
      </c>
    </row>
    <row r="281" spans="1:5" ht="14.4" x14ac:dyDescent="0.3">
      <c r="A281" s="86">
        <v>271</v>
      </c>
      <c r="B281" s="192">
        <f t="shared" si="16"/>
        <v>1656.611106425695</v>
      </c>
      <c r="C281" s="135">
        <f t="shared" si="17"/>
        <v>538.22928570863178</v>
      </c>
      <c r="D281" s="135">
        <f t="shared" si="18"/>
        <v>1118.3818207170632</v>
      </c>
      <c r="E281" s="18">
        <f t="shared" si="19"/>
        <v>121905.45491268449</v>
      </c>
    </row>
    <row r="282" spans="1:5" ht="14.4" x14ac:dyDescent="0.3">
      <c r="A282" s="86">
        <v>272</v>
      </c>
      <c r="B282" s="192">
        <f t="shared" si="16"/>
        <v>1656.611106425695</v>
      </c>
      <c r="C282" s="135">
        <f t="shared" si="17"/>
        <v>533.33636524299459</v>
      </c>
      <c r="D282" s="135">
        <f t="shared" si="18"/>
        <v>1123.2747411827004</v>
      </c>
      <c r="E282" s="18">
        <f t="shared" si="19"/>
        <v>120782.18017150179</v>
      </c>
    </row>
    <row r="283" spans="1:5" ht="14.4" x14ac:dyDescent="0.3">
      <c r="A283" s="86">
        <v>273</v>
      </c>
      <c r="B283" s="192">
        <f t="shared" si="16"/>
        <v>1656.611106425695</v>
      </c>
      <c r="C283" s="135">
        <f t="shared" si="17"/>
        <v>528.42203825032027</v>
      </c>
      <c r="D283" s="135">
        <f t="shared" si="18"/>
        <v>1128.1890681753748</v>
      </c>
      <c r="E283" s="18">
        <f t="shared" si="19"/>
        <v>119653.99110332642</v>
      </c>
    </row>
    <row r="284" spans="1:5" ht="14.4" x14ac:dyDescent="0.3">
      <c r="A284" s="86">
        <v>274</v>
      </c>
      <c r="B284" s="192">
        <f t="shared" si="16"/>
        <v>1656.611106425695</v>
      </c>
      <c r="C284" s="135">
        <f t="shared" si="17"/>
        <v>523.48621107705299</v>
      </c>
      <c r="D284" s="135">
        <f t="shared" si="18"/>
        <v>1133.124895348642</v>
      </c>
      <c r="E284" s="18">
        <f t="shared" si="19"/>
        <v>118520.86620797779</v>
      </c>
    </row>
    <row r="285" spans="1:5" ht="14.4" x14ac:dyDescent="0.3">
      <c r="A285" s="86">
        <v>275</v>
      </c>
      <c r="B285" s="192">
        <f t="shared" si="16"/>
        <v>1656.611106425695</v>
      </c>
      <c r="C285" s="135">
        <f t="shared" si="17"/>
        <v>518.52878965990271</v>
      </c>
      <c r="D285" s="135">
        <f t="shared" si="18"/>
        <v>1138.0823167657923</v>
      </c>
      <c r="E285" s="18">
        <f t="shared" si="19"/>
        <v>117382.78389121199</v>
      </c>
    </row>
    <row r="286" spans="1:5" ht="14.4" x14ac:dyDescent="0.3">
      <c r="A286" s="86">
        <v>276</v>
      </c>
      <c r="B286" s="192">
        <f t="shared" si="16"/>
        <v>1656.611106425695</v>
      </c>
      <c r="C286" s="135">
        <f t="shared" si="17"/>
        <v>513.54967952405241</v>
      </c>
      <c r="D286" s="135">
        <f t="shared" si="18"/>
        <v>1143.0614269016426</v>
      </c>
      <c r="E286" s="18">
        <f t="shared" si="19"/>
        <v>116239.72246431035</v>
      </c>
    </row>
    <row r="287" spans="1:5" ht="14.4" x14ac:dyDescent="0.3">
      <c r="A287" s="86">
        <v>277</v>
      </c>
      <c r="B287" s="192">
        <f t="shared" si="16"/>
        <v>1656.611106425695</v>
      </c>
      <c r="C287" s="135">
        <f t="shared" si="17"/>
        <v>508.54878578135776</v>
      </c>
      <c r="D287" s="135">
        <f t="shared" si="18"/>
        <v>1148.0623206443372</v>
      </c>
      <c r="E287" s="18">
        <f t="shared" si="19"/>
        <v>115091.66014366601</v>
      </c>
    </row>
    <row r="288" spans="1:5" ht="14.4" x14ac:dyDescent="0.3">
      <c r="A288" s="86">
        <v>278</v>
      </c>
      <c r="B288" s="192">
        <f t="shared" si="16"/>
        <v>1656.611106425695</v>
      </c>
      <c r="C288" s="135">
        <f t="shared" si="17"/>
        <v>503.52601312853875</v>
      </c>
      <c r="D288" s="135">
        <f t="shared" si="18"/>
        <v>1153.0850932971562</v>
      </c>
      <c r="E288" s="18">
        <f t="shared" si="19"/>
        <v>113938.57505036886</v>
      </c>
    </row>
    <row r="289" spans="1:5" ht="14.4" x14ac:dyDescent="0.3">
      <c r="A289" s="86">
        <v>279</v>
      </c>
      <c r="B289" s="192">
        <f t="shared" si="16"/>
        <v>1656.611106425695</v>
      </c>
      <c r="C289" s="135">
        <f t="shared" si="17"/>
        <v>498.48126584536374</v>
      </c>
      <c r="D289" s="135">
        <f t="shared" si="18"/>
        <v>1158.1298405803313</v>
      </c>
      <c r="E289" s="18">
        <f t="shared" si="19"/>
        <v>112780.44520978854</v>
      </c>
    </row>
    <row r="290" spans="1:5" ht="14.4" x14ac:dyDescent="0.3">
      <c r="A290" s="86">
        <v>280</v>
      </c>
      <c r="B290" s="192">
        <f t="shared" si="16"/>
        <v>1656.611106425695</v>
      </c>
      <c r="C290" s="135">
        <f t="shared" si="17"/>
        <v>493.41444779282477</v>
      </c>
      <c r="D290" s="135">
        <f t="shared" si="18"/>
        <v>1163.1966586328701</v>
      </c>
      <c r="E290" s="18">
        <f t="shared" si="19"/>
        <v>111617.24855115567</v>
      </c>
    </row>
    <row r="291" spans="1:5" ht="14.4" x14ac:dyDescent="0.3">
      <c r="A291" s="86">
        <v>281</v>
      </c>
      <c r="B291" s="192">
        <f t="shared" si="16"/>
        <v>1656.611106425695</v>
      </c>
      <c r="C291" s="135">
        <f t="shared" si="17"/>
        <v>488.32546241130603</v>
      </c>
      <c r="D291" s="135">
        <f t="shared" si="18"/>
        <v>1168.2856440143889</v>
      </c>
      <c r="E291" s="18">
        <f t="shared" si="19"/>
        <v>110448.96290714128</v>
      </c>
    </row>
    <row r="292" spans="1:5" ht="14.4" x14ac:dyDescent="0.3">
      <c r="A292" s="86">
        <v>282</v>
      </c>
      <c r="B292" s="192">
        <f t="shared" si="16"/>
        <v>1656.611106425695</v>
      </c>
      <c r="C292" s="135">
        <f t="shared" si="17"/>
        <v>483.21421271874306</v>
      </c>
      <c r="D292" s="135">
        <f t="shared" si="18"/>
        <v>1173.3968937069519</v>
      </c>
      <c r="E292" s="18">
        <f t="shared" si="19"/>
        <v>109275.56601343432</v>
      </c>
    </row>
    <row r="293" spans="1:5" ht="14.4" x14ac:dyDescent="0.3">
      <c r="A293" s="86">
        <v>283</v>
      </c>
      <c r="B293" s="192">
        <f t="shared" si="16"/>
        <v>1656.611106425695</v>
      </c>
      <c r="C293" s="135">
        <f t="shared" si="17"/>
        <v>478.0806013087751</v>
      </c>
      <c r="D293" s="135">
        <f t="shared" si="18"/>
        <v>1178.5305051169198</v>
      </c>
      <c r="E293" s="18">
        <f t="shared" si="19"/>
        <v>108097.03550831741</v>
      </c>
    </row>
    <row r="294" spans="1:5" ht="14.4" x14ac:dyDescent="0.3">
      <c r="A294" s="86">
        <v>284</v>
      </c>
      <c r="B294" s="192">
        <f t="shared" si="16"/>
        <v>1656.611106425695</v>
      </c>
      <c r="C294" s="135">
        <f t="shared" si="17"/>
        <v>472.9245303488886</v>
      </c>
      <c r="D294" s="135">
        <f t="shared" si="18"/>
        <v>1183.6865760768064</v>
      </c>
      <c r="E294" s="18">
        <f t="shared" si="19"/>
        <v>106913.34893224059</v>
      </c>
    </row>
    <row r="295" spans="1:5" ht="14.4" x14ac:dyDescent="0.3">
      <c r="A295" s="86">
        <v>285</v>
      </c>
      <c r="B295" s="192">
        <f t="shared" si="16"/>
        <v>1656.611106425695</v>
      </c>
      <c r="C295" s="135">
        <f t="shared" si="17"/>
        <v>467.74590157855255</v>
      </c>
      <c r="D295" s="135">
        <f t="shared" si="18"/>
        <v>1188.8652048471424</v>
      </c>
      <c r="E295" s="18">
        <f t="shared" si="19"/>
        <v>105724.48372739345</v>
      </c>
    </row>
    <row r="296" spans="1:5" ht="14.4" x14ac:dyDescent="0.3">
      <c r="A296" s="86">
        <v>286</v>
      </c>
      <c r="B296" s="192">
        <f t="shared" si="16"/>
        <v>1656.611106425695</v>
      </c>
      <c r="C296" s="135">
        <f t="shared" si="17"/>
        <v>462.5446163073463</v>
      </c>
      <c r="D296" s="135">
        <f t="shared" si="18"/>
        <v>1194.0664901183486</v>
      </c>
      <c r="E296" s="18">
        <f t="shared" si="19"/>
        <v>104530.41723727511</v>
      </c>
    </row>
    <row r="297" spans="1:5" ht="14.4" x14ac:dyDescent="0.3">
      <c r="A297" s="86">
        <v>287</v>
      </c>
      <c r="B297" s="192">
        <f t="shared" si="16"/>
        <v>1656.611106425695</v>
      </c>
      <c r="C297" s="135">
        <f t="shared" si="17"/>
        <v>457.32057541307853</v>
      </c>
      <c r="D297" s="135">
        <f t="shared" si="18"/>
        <v>1199.2905310126164</v>
      </c>
      <c r="E297" s="18">
        <f t="shared" si="19"/>
        <v>103331.12670626248</v>
      </c>
    </row>
    <row r="298" spans="1:5" ht="14.4" x14ac:dyDescent="0.3">
      <c r="A298" s="86">
        <v>288</v>
      </c>
      <c r="B298" s="192">
        <f t="shared" si="16"/>
        <v>1656.611106425695</v>
      </c>
      <c r="C298" s="135">
        <f t="shared" si="17"/>
        <v>452.07367933989832</v>
      </c>
      <c r="D298" s="135">
        <f t="shared" si="18"/>
        <v>1204.5374270857967</v>
      </c>
      <c r="E298" s="18">
        <f t="shared" si="19"/>
        <v>102126.58927917668</v>
      </c>
    </row>
    <row r="299" spans="1:5" ht="14.4" x14ac:dyDescent="0.3">
      <c r="A299" s="86">
        <v>289</v>
      </c>
      <c r="B299" s="192">
        <f t="shared" si="16"/>
        <v>1656.611106425695</v>
      </c>
      <c r="C299" s="135">
        <f t="shared" si="17"/>
        <v>446.80382809639792</v>
      </c>
      <c r="D299" s="135">
        <f t="shared" si="18"/>
        <v>1209.8072783292971</v>
      </c>
      <c r="E299" s="18">
        <f t="shared" si="19"/>
        <v>100916.78200084738</v>
      </c>
    </row>
    <row r="300" spans="1:5" ht="14.4" x14ac:dyDescent="0.3">
      <c r="A300" s="86">
        <v>290</v>
      </c>
      <c r="B300" s="192">
        <f t="shared" si="16"/>
        <v>1656.611106425695</v>
      </c>
      <c r="C300" s="135">
        <f t="shared" si="17"/>
        <v>441.51092125370724</v>
      </c>
      <c r="D300" s="135">
        <f t="shared" si="18"/>
        <v>1215.1001851719877</v>
      </c>
      <c r="E300" s="18">
        <f t="shared" si="19"/>
        <v>99701.681815675387</v>
      </c>
    </row>
    <row r="301" spans="1:5" ht="14.4" x14ac:dyDescent="0.3">
      <c r="A301" s="86">
        <v>291</v>
      </c>
      <c r="B301" s="192">
        <f t="shared" si="16"/>
        <v>1656.611106425695</v>
      </c>
      <c r="C301" s="135">
        <f t="shared" si="17"/>
        <v>436.19485794357979</v>
      </c>
      <c r="D301" s="135">
        <f t="shared" si="18"/>
        <v>1220.4162484821152</v>
      </c>
      <c r="E301" s="18">
        <f t="shared" si="19"/>
        <v>98481.265567193273</v>
      </c>
    </row>
    <row r="302" spans="1:5" ht="14.4" x14ac:dyDescent="0.3">
      <c r="A302" s="86">
        <v>292</v>
      </c>
      <c r="B302" s="192">
        <f t="shared" si="16"/>
        <v>1656.611106425695</v>
      </c>
      <c r="C302" s="135">
        <f t="shared" si="17"/>
        <v>430.85553685647051</v>
      </c>
      <c r="D302" s="135">
        <f t="shared" si="18"/>
        <v>1225.7555695692245</v>
      </c>
      <c r="E302" s="18">
        <f t="shared" si="19"/>
        <v>97255.509997624045</v>
      </c>
    </row>
    <row r="303" spans="1:5" ht="14.4" x14ac:dyDescent="0.3">
      <c r="A303" s="86">
        <v>293</v>
      </c>
      <c r="B303" s="192">
        <f t="shared" si="16"/>
        <v>1656.611106425695</v>
      </c>
      <c r="C303" s="135">
        <f t="shared" si="17"/>
        <v>425.49285623960515</v>
      </c>
      <c r="D303" s="135">
        <f t="shared" si="18"/>
        <v>1231.1182501860899</v>
      </c>
      <c r="E303" s="18">
        <f t="shared" si="19"/>
        <v>96024.391747437956</v>
      </c>
    </row>
    <row r="304" spans="1:5" ht="14.4" x14ac:dyDescent="0.3">
      <c r="A304" s="86">
        <v>294</v>
      </c>
      <c r="B304" s="192">
        <f t="shared" si="16"/>
        <v>1656.611106425695</v>
      </c>
      <c r="C304" s="135">
        <f t="shared" si="17"/>
        <v>420.10671389504103</v>
      </c>
      <c r="D304" s="135">
        <f t="shared" si="18"/>
        <v>1236.5043925306541</v>
      </c>
      <c r="E304" s="18">
        <f t="shared" si="19"/>
        <v>94787.887354907303</v>
      </c>
    </row>
    <row r="305" spans="1:5" ht="14.4" x14ac:dyDescent="0.3">
      <c r="A305" s="86">
        <v>295</v>
      </c>
      <c r="B305" s="192">
        <f t="shared" si="16"/>
        <v>1656.611106425695</v>
      </c>
      <c r="C305" s="135">
        <f t="shared" si="17"/>
        <v>414.6970071777194</v>
      </c>
      <c r="D305" s="135">
        <f t="shared" si="18"/>
        <v>1241.9140992479756</v>
      </c>
      <c r="E305" s="18">
        <f t="shared" si="19"/>
        <v>93545.973255659323</v>
      </c>
    </row>
    <row r="306" spans="1:5" ht="14.4" x14ac:dyDescent="0.3">
      <c r="A306" s="86">
        <v>296</v>
      </c>
      <c r="B306" s="192">
        <f t="shared" si="16"/>
        <v>1656.611106425695</v>
      </c>
      <c r="C306" s="135">
        <f t="shared" si="17"/>
        <v>409.26363299350947</v>
      </c>
      <c r="D306" s="135">
        <f t="shared" si="18"/>
        <v>1247.3474734321856</v>
      </c>
      <c r="E306" s="18">
        <f t="shared" si="19"/>
        <v>92298.625782227144</v>
      </c>
    </row>
    <row r="307" spans="1:5" ht="14.4" x14ac:dyDescent="0.3">
      <c r="A307" s="86">
        <v>297</v>
      </c>
      <c r="B307" s="192">
        <f t="shared" si="16"/>
        <v>1656.611106425695</v>
      </c>
      <c r="C307" s="135">
        <f t="shared" si="17"/>
        <v>403.80648779724373</v>
      </c>
      <c r="D307" s="135">
        <f t="shared" si="18"/>
        <v>1252.8046186284512</v>
      </c>
      <c r="E307" s="18">
        <f t="shared" si="19"/>
        <v>91045.821163598695</v>
      </c>
    </row>
    <row r="308" spans="1:5" ht="14.4" x14ac:dyDescent="0.3">
      <c r="A308" s="86">
        <v>298</v>
      </c>
      <c r="B308" s="192">
        <f t="shared" si="16"/>
        <v>1656.611106425695</v>
      </c>
      <c r="C308" s="135">
        <f t="shared" si="17"/>
        <v>398.32546759074427</v>
      </c>
      <c r="D308" s="135">
        <f t="shared" si="18"/>
        <v>1258.2856388349508</v>
      </c>
      <c r="E308" s="18">
        <f t="shared" si="19"/>
        <v>89787.535524763749</v>
      </c>
    </row>
    <row r="309" spans="1:5" ht="14.4" x14ac:dyDescent="0.3">
      <c r="A309" s="86">
        <v>299</v>
      </c>
      <c r="B309" s="192">
        <f t="shared" si="16"/>
        <v>1656.611106425695</v>
      </c>
      <c r="C309" s="135">
        <f t="shared" si="17"/>
        <v>392.82046792084134</v>
      </c>
      <c r="D309" s="135">
        <f t="shared" si="18"/>
        <v>1263.7906385048536</v>
      </c>
      <c r="E309" s="18">
        <f t="shared" si="19"/>
        <v>88523.744886258894</v>
      </c>
    </row>
    <row r="310" spans="1:5" ht="14.4" x14ac:dyDescent="0.3">
      <c r="A310" s="86">
        <v>300</v>
      </c>
      <c r="B310" s="192">
        <f t="shared" si="16"/>
        <v>1656.611106425695</v>
      </c>
      <c r="C310" s="135">
        <f t="shared" si="17"/>
        <v>387.2913838773826</v>
      </c>
      <c r="D310" s="135">
        <f t="shared" si="18"/>
        <v>1269.3197225483123</v>
      </c>
      <c r="E310" s="18">
        <f t="shared" si="19"/>
        <v>87254.425163710577</v>
      </c>
    </row>
    <row r="311" spans="1:5" ht="14.4" x14ac:dyDescent="0.3">
      <c r="A311" s="86">
        <v>301</v>
      </c>
      <c r="B311" s="192">
        <f t="shared" si="16"/>
        <v>1656.611106425695</v>
      </c>
      <c r="C311" s="135">
        <f t="shared" si="17"/>
        <v>381.73811009123375</v>
      </c>
      <c r="D311" s="135">
        <f t="shared" si="18"/>
        <v>1274.8729963344613</v>
      </c>
      <c r="E311" s="18">
        <f t="shared" si="19"/>
        <v>85979.55216737611</v>
      </c>
    </row>
    <row r="312" spans="1:5" ht="14.4" x14ac:dyDescent="0.3">
      <c r="A312" s="86">
        <v>302</v>
      </c>
      <c r="B312" s="192">
        <f t="shared" si="16"/>
        <v>1656.611106425695</v>
      </c>
      <c r="C312" s="135">
        <f t="shared" si="17"/>
        <v>376.16054073227042</v>
      </c>
      <c r="D312" s="135">
        <f t="shared" si="18"/>
        <v>1280.4505656934246</v>
      </c>
      <c r="E312" s="18">
        <f t="shared" si="19"/>
        <v>84699.101601682691</v>
      </c>
    </row>
    <row r="313" spans="1:5" ht="14.4" x14ac:dyDescent="0.3">
      <c r="A313" s="86">
        <v>303</v>
      </c>
      <c r="B313" s="192">
        <f t="shared" si="16"/>
        <v>1656.611106425695</v>
      </c>
      <c r="C313" s="135">
        <f t="shared" si="17"/>
        <v>370.55856950736171</v>
      </c>
      <c r="D313" s="135">
        <f t="shared" si="18"/>
        <v>1286.0525369183333</v>
      </c>
      <c r="E313" s="18">
        <f t="shared" si="19"/>
        <v>83413.04906476436</v>
      </c>
    </row>
    <row r="314" spans="1:5" ht="14.4" x14ac:dyDescent="0.3">
      <c r="A314" s="86">
        <v>304</v>
      </c>
      <c r="B314" s="192">
        <f t="shared" si="16"/>
        <v>1656.611106425695</v>
      </c>
      <c r="C314" s="135">
        <f t="shared" si="17"/>
        <v>364.93208965834401</v>
      </c>
      <c r="D314" s="135">
        <f t="shared" si="18"/>
        <v>1291.679016767351</v>
      </c>
      <c r="E314" s="18">
        <f t="shared" si="19"/>
        <v>82121.370047997014</v>
      </c>
    </row>
    <row r="315" spans="1:5" ht="14.4" x14ac:dyDescent="0.3">
      <c r="A315" s="86">
        <v>305</v>
      </c>
      <c r="B315" s="192">
        <f t="shared" si="16"/>
        <v>1656.611106425695</v>
      </c>
      <c r="C315" s="135">
        <f t="shared" si="17"/>
        <v>359.28099395998692</v>
      </c>
      <c r="D315" s="135">
        <f t="shared" si="18"/>
        <v>1297.330112465708</v>
      </c>
      <c r="E315" s="18">
        <f t="shared" si="19"/>
        <v>80824.039935531313</v>
      </c>
    </row>
    <row r="316" spans="1:5" ht="14.4" x14ac:dyDescent="0.3">
      <c r="A316" s="86">
        <v>306</v>
      </c>
      <c r="B316" s="192">
        <f t="shared" si="16"/>
        <v>1656.611106425695</v>
      </c>
      <c r="C316" s="135">
        <f t="shared" si="17"/>
        <v>353.60517471794947</v>
      </c>
      <c r="D316" s="135">
        <f t="shared" si="18"/>
        <v>1303.0059317077455</v>
      </c>
      <c r="E316" s="18">
        <f t="shared" si="19"/>
        <v>79521.034003823574</v>
      </c>
    </row>
    <row r="317" spans="1:5" ht="14.4" x14ac:dyDescent="0.3">
      <c r="A317" s="86">
        <v>307</v>
      </c>
      <c r="B317" s="192">
        <f t="shared" si="16"/>
        <v>1656.611106425695</v>
      </c>
      <c r="C317" s="135">
        <f t="shared" si="17"/>
        <v>347.90452376672812</v>
      </c>
      <c r="D317" s="135">
        <f t="shared" si="18"/>
        <v>1308.7065826589669</v>
      </c>
      <c r="E317" s="18">
        <f t="shared" si="19"/>
        <v>78212.327421164606</v>
      </c>
    </row>
    <row r="318" spans="1:5" ht="14.4" x14ac:dyDescent="0.3">
      <c r="A318" s="86">
        <v>308</v>
      </c>
      <c r="B318" s="192">
        <f t="shared" si="16"/>
        <v>1656.611106425695</v>
      </c>
      <c r="C318" s="135">
        <f t="shared" si="17"/>
        <v>342.17893246759513</v>
      </c>
      <c r="D318" s="135">
        <f t="shared" si="18"/>
        <v>1314.4321739580998</v>
      </c>
      <c r="E318" s="18">
        <f t="shared" si="19"/>
        <v>76897.895247206499</v>
      </c>
    </row>
    <row r="319" spans="1:5" ht="14.4" x14ac:dyDescent="0.3">
      <c r="A319" s="86">
        <v>309</v>
      </c>
      <c r="B319" s="192">
        <f t="shared" si="16"/>
        <v>1656.611106425695</v>
      </c>
      <c r="C319" s="135">
        <f t="shared" si="17"/>
        <v>336.4282917065284</v>
      </c>
      <c r="D319" s="135">
        <f t="shared" si="18"/>
        <v>1320.1828147191666</v>
      </c>
      <c r="E319" s="18">
        <f t="shared" si="19"/>
        <v>75577.712432487329</v>
      </c>
    </row>
    <row r="320" spans="1:5" ht="14.4" x14ac:dyDescent="0.3">
      <c r="A320" s="86">
        <v>310</v>
      </c>
      <c r="B320" s="192">
        <f t="shared" si="16"/>
        <v>1656.611106425695</v>
      </c>
      <c r="C320" s="135">
        <f t="shared" si="17"/>
        <v>330.65249189213205</v>
      </c>
      <c r="D320" s="135">
        <f t="shared" si="18"/>
        <v>1325.9586145335629</v>
      </c>
      <c r="E320" s="18">
        <f t="shared" si="19"/>
        <v>74251.753817953766</v>
      </c>
    </row>
    <row r="321" spans="1:5" ht="14.4" x14ac:dyDescent="0.3">
      <c r="A321" s="86">
        <v>311</v>
      </c>
      <c r="B321" s="192">
        <f t="shared" si="16"/>
        <v>1656.611106425695</v>
      </c>
      <c r="C321" s="135">
        <f t="shared" si="17"/>
        <v>324.85142295354768</v>
      </c>
      <c r="D321" s="135">
        <f t="shared" si="18"/>
        <v>1331.7596834721473</v>
      </c>
      <c r="E321" s="18">
        <f t="shared" si="19"/>
        <v>72919.994134481618</v>
      </c>
    </row>
    <row r="322" spans="1:5" ht="14.4" x14ac:dyDescent="0.3">
      <c r="A322" s="86">
        <v>312</v>
      </c>
      <c r="B322" s="192">
        <f t="shared" si="16"/>
        <v>1656.611106425695</v>
      </c>
      <c r="C322" s="135">
        <f t="shared" si="17"/>
        <v>319.02497433835703</v>
      </c>
      <c r="D322" s="135">
        <f t="shared" si="18"/>
        <v>1337.586132087338</v>
      </c>
      <c r="E322" s="18">
        <f t="shared" si="19"/>
        <v>71582.408002394281</v>
      </c>
    </row>
    <row r="323" spans="1:5" ht="14.4" x14ac:dyDescent="0.3">
      <c r="A323" s="86">
        <v>313</v>
      </c>
      <c r="B323" s="192">
        <f t="shared" si="16"/>
        <v>1656.611106425695</v>
      </c>
      <c r="C323" s="135">
        <f t="shared" si="17"/>
        <v>313.17303501047496</v>
      </c>
      <c r="D323" s="135">
        <f t="shared" si="18"/>
        <v>1343.4380714152201</v>
      </c>
      <c r="E323" s="18">
        <f t="shared" si="19"/>
        <v>70238.969930979059</v>
      </c>
    </row>
    <row r="324" spans="1:5" ht="14.4" x14ac:dyDescent="0.3">
      <c r="A324" s="86">
        <v>314</v>
      </c>
      <c r="B324" s="192">
        <f t="shared" si="16"/>
        <v>1656.611106425695</v>
      </c>
      <c r="C324" s="135">
        <f t="shared" si="17"/>
        <v>307.29549344803337</v>
      </c>
      <c r="D324" s="135">
        <f t="shared" si="18"/>
        <v>1349.3156129776617</v>
      </c>
      <c r="E324" s="18">
        <f t="shared" si="19"/>
        <v>68889.654318001398</v>
      </c>
    </row>
    <row r="325" spans="1:5" ht="14.4" x14ac:dyDescent="0.3">
      <c r="A325" s="86">
        <v>315</v>
      </c>
      <c r="B325" s="192">
        <f t="shared" si="16"/>
        <v>1656.611106425695</v>
      </c>
      <c r="C325" s="135">
        <f t="shared" si="17"/>
        <v>301.39223764125609</v>
      </c>
      <c r="D325" s="135">
        <f t="shared" si="18"/>
        <v>1355.2188687844389</v>
      </c>
      <c r="E325" s="18">
        <f t="shared" si="19"/>
        <v>67534.435449216966</v>
      </c>
    </row>
    <row r="326" spans="1:5" ht="14.4" x14ac:dyDescent="0.3">
      <c r="A326" s="86">
        <v>316</v>
      </c>
      <c r="B326" s="192">
        <f t="shared" si="16"/>
        <v>1656.611106425695</v>
      </c>
      <c r="C326" s="135">
        <f t="shared" si="17"/>
        <v>295.46315509032422</v>
      </c>
      <c r="D326" s="135">
        <f t="shared" si="18"/>
        <v>1361.1479513353706</v>
      </c>
      <c r="E326" s="18">
        <f t="shared" si="19"/>
        <v>66173.287497881596</v>
      </c>
    </row>
    <row r="327" spans="1:5" ht="14.4" x14ac:dyDescent="0.3">
      <c r="A327" s="86">
        <v>317</v>
      </c>
      <c r="B327" s="192">
        <f t="shared" si="16"/>
        <v>1656.611106425695</v>
      </c>
      <c r="C327" s="135">
        <f t="shared" si="17"/>
        <v>289.50813280323194</v>
      </c>
      <c r="D327" s="135">
        <f t="shared" si="18"/>
        <v>1367.102973622463</v>
      </c>
      <c r="E327" s="18">
        <f t="shared" si="19"/>
        <v>64806.18452425913</v>
      </c>
    </row>
    <row r="328" spans="1:5" ht="14.4" x14ac:dyDescent="0.3">
      <c r="A328" s="86">
        <v>318</v>
      </c>
      <c r="B328" s="192">
        <f t="shared" si="16"/>
        <v>1656.611106425695</v>
      </c>
      <c r="C328" s="135">
        <f t="shared" si="17"/>
        <v>283.52705729363367</v>
      </c>
      <c r="D328" s="135">
        <f t="shared" si="18"/>
        <v>1373.0840491320614</v>
      </c>
      <c r="E328" s="18">
        <f t="shared" si="19"/>
        <v>63433.100475127067</v>
      </c>
    </row>
    <row r="329" spans="1:5" ht="14.4" x14ac:dyDescent="0.3">
      <c r="A329" s="86">
        <v>319</v>
      </c>
      <c r="B329" s="192">
        <f t="shared" si="16"/>
        <v>1656.611106425695</v>
      </c>
      <c r="C329" s="135">
        <f t="shared" si="17"/>
        <v>277.51981457868089</v>
      </c>
      <c r="D329" s="135">
        <f t="shared" si="18"/>
        <v>1379.091291847014</v>
      </c>
      <c r="E329" s="18">
        <f t="shared" si="19"/>
        <v>62054.009183280054</v>
      </c>
    </row>
    <row r="330" spans="1:5" ht="14.4" x14ac:dyDescent="0.3">
      <c r="A330" s="86">
        <v>320</v>
      </c>
      <c r="B330" s="192">
        <f t="shared" si="16"/>
        <v>1656.611106425695</v>
      </c>
      <c r="C330" s="135">
        <f t="shared" si="17"/>
        <v>271.48629017685022</v>
      </c>
      <c r="D330" s="135">
        <f t="shared" si="18"/>
        <v>1385.1248162488448</v>
      </c>
      <c r="E330" s="18">
        <f t="shared" si="19"/>
        <v>60668.884367031205</v>
      </c>
    </row>
    <row r="331" spans="1:5" ht="14.4" x14ac:dyDescent="0.3">
      <c r="A331" s="86">
        <v>321</v>
      </c>
      <c r="B331" s="192">
        <f t="shared" si="16"/>
        <v>1656.611106425695</v>
      </c>
      <c r="C331" s="135">
        <f t="shared" si="17"/>
        <v>265.42636910576152</v>
      </c>
      <c r="D331" s="135">
        <f t="shared" si="18"/>
        <v>1391.1847373199334</v>
      </c>
      <c r="E331" s="18">
        <f t="shared" si="19"/>
        <v>59277.699629711271</v>
      </c>
    </row>
    <row r="332" spans="1:5" ht="14.4" x14ac:dyDescent="0.3">
      <c r="A332" s="86">
        <v>322</v>
      </c>
      <c r="B332" s="192">
        <f t="shared" ref="B332:B370" si="20">-$B$7</f>
        <v>1656.611106425695</v>
      </c>
      <c r="C332" s="135">
        <f t="shared" ref="C332:C370" si="21">E331*$B$3</f>
        <v>259.3399358799868</v>
      </c>
      <c r="D332" s="135">
        <f t="shared" ref="D332:D370" si="22">B332-C332</f>
        <v>1397.2711705457082</v>
      </c>
      <c r="E332" s="18">
        <f t="shared" ref="E332:E370" si="23">E331-D332</f>
        <v>57880.42845916556</v>
      </c>
    </row>
    <row r="333" spans="1:5" ht="14.4" x14ac:dyDescent="0.3">
      <c r="A333" s="86">
        <v>323</v>
      </c>
      <c r="B333" s="192">
        <f t="shared" si="20"/>
        <v>1656.611106425695</v>
      </c>
      <c r="C333" s="135">
        <f t="shared" si="21"/>
        <v>253.22687450884931</v>
      </c>
      <c r="D333" s="135">
        <f t="shared" si="22"/>
        <v>1403.3842319168457</v>
      </c>
      <c r="E333" s="18">
        <f t="shared" si="23"/>
        <v>56477.044227248713</v>
      </c>
    </row>
    <row r="334" spans="1:5" ht="14.4" x14ac:dyDescent="0.3">
      <c r="A334" s="86">
        <v>324</v>
      </c>
      <c r="B334" s="192">
        <f t="shared" si="20"/>
        <v>1656.611106425695</v>
      </c>
      <c r="C334" s="135">
        <f t="shared" si="21"/>
        <v>247.0870684942131</v>
      </c>
      <c r="D334" s="135">
        <f t="shared" si="22"/>
        <v>1409.5240379314819</v>
      </c>
      <c r="E334" s="18">
        <f t="shared" si="23"/>
        <v>55067.520189317234</v>
      </c>
    </row>
    <row r="335" spans="1:5" ht="14.4" x14ac:dyDescent="0.3">
      <c r="A335" s="86">
        <v>325</v>
      </c>
      <c r="B335" s="192">
        <f t="shared" si="20"/>
        <v>1656.611106425695</v>
      </c>
      <c r="C335" s="135">
        <f t="shared" si="21"/>
        <v>240.92040082826287</v>
      </c>
      <c r="D335" s="135">
        <f t="shared" si="22"/>
        <v>1415.690705597432</v>
      </c>
      <c r="E335" s="18">
        <f t="shared" si="23"/>
        <v>53651.829483719805</v>
      </c>
    </row>
    <row r="336" spans="1:5" ht="14.4" x14ac:dyDescent="0.3">
      <c r="A336" s="86">
        <v>326</v>
      </c>
      <c r="B336" s="192">
        <f t="shared" si="20"/>
        <v>1656.611106425695</v>
      </c>
      <c r="C336" s="135">
        <f t="shared" si="21"/>
        <v>234.72675399127411</v>
      </c>
      <c r="D336" s="135">
        <f t="shared" si="22"/>
        <v>1421.8843524344209</v>
      </c>
      <c r="E336" s="18">
        <f t="shared" si="23"/>
        <v>52229.945131285385</v>
      </c>
    </row>
    <row r="337" spans="1:5" ht="14.4" x14ac:dyDescent="0.3">
      <c r="A337" s="86">
        <v>327</v>
      </c>
      <c r="B337" s="192">
        <f t="shared" si="20"/>
        <v>1656.611106425695</v>
      </c>
      <c r="C337" s="135">
        <f t="shared" si="21"/>
        <v>228.50600994937355</v>
      </c>
      <c r="D337" s="135">
        <f t="shared" si="22"/>
        <v>1428.1050964763215</v>
      </c>
      <c r="E337" s="18">
        <f t="shared" si="23"/>
        <v>50801.840034809065</v>
      </c>
    </row>
    <row r="338" spans="1:5" ht="14.4" x14ac:dyDescent="0.3">
      <c r="A338" s="86">
        <v>328</v>
      </c>
      <c r="B338" s="192">
        <f t="shared" si="20"/>
        <v>1656.611106425695</v>
      </c>
      <c r="C338" s="135">
        <f t="shared" si="21"/>
        <v>222.25805015228963</v>
      </c>
      <c r="D338" s="135">
        <f t="shared" si="22"/>
        <v>1434.3530562734054</v>
      </c>
      <c r="E338" s="18">
        <f t="shared" si="23"/>
        <v>49367.486978535657</v>
      </c>
    </row>
    <row r="339" spans="1:5" ht="14.4" x14ac:dyDescent="0.3">
      <c r="A339" s="86">
        <v>329</v>
      </c>
      <c r="B339" s="192">
        <f t="shared" si="20"/>
        <v>1656.611106425695</v>
      </c>
      <c r="C339" s="135">
        <f t="shared" si="21"/>
        <v>215.98275553109349</v>
      </c>
      <c r="D339" s="135">
        <f t="shared" si="22"/>
        <v>1440.6283508946015</v>
      </c>
      <c r="E339" s="18">
        <f t="shared" si="23"/>
        <v>47926.858627641057</v>
      </c>
    </row>
    <row r="340" spans="1:5" ht="14.4" x14ac:dyDescent="0.3">
      <c r="A340" s="86">
        <v>330</v>
      </c>
      <c r="B340" s="192">
        <f t="shared" si="20"/>
        <v>1656.611106425695</v>
      </c>
      <c r="C340" s="135">
        <f t="shared" si="21"/>
        <v>209.6800064959296</v>
      </c>
      <c r="D340" s="135">
        <f t="shared" si="22"/>
        <v>1446.9310999297654</v>
      </c>
      <c r="E340" s="18">
        <f t="shared" si="23"/>
        <v>46479.92752771129</v>
      </c>
    </row>
    <row r="341" spans="1:5" ht="14.4" x14ac:dyDescent="0.3">
      <c r="A341" s="86">
        <v>331</v>
      </c>
      <c r="B341" s="192">
        <f t="shared" si="20"/>
        <v>1656.611106425695</v>
      </c>
      <c r="C341" s="135">
        <f t="shared" si="21"/>
        <v>203.34968293373689</v>
      </c>
      <c r="D341" s="135">
        <f t="shared" si="22"/>
        <v>1453.2614234919581</v>
      </c>
      <c r="E341" s="18">
        <f t="shared" si="23"/>
        <v>45026.66610421933</v>
      </c>
    </row>
    <row r="342" spans="1:5" ht="14.4" x14ac:dyDescent="0.3">
      <c r="A342" s="86">
        <v>332</v>
      </c>
      <c r="B342" s="192">
        <f t="shared" si="20"/>
        <v>1656.611106425695</v>
      </c>
      <c r="C342" s="135">
        <f t="shared" si="21"/>
        <v>196.99166420595955</v>
      </c>
      <c r="D342" s="135">
        <f t="shared" si="22"/>
        <v>1459.6194422197354</v>
      </c>
      <c r="E342" s="18">
        <f t="shared" si="23"/>
        <v>43567.046661999593</v>
      </c>
    </row>
    <row r="343" spans="1:5" ht="14.4" x14ac:dyDescent="0.3">
      <c r="A343" s="86">
        <v>333</v>
      </c>
      <c r="B343" s="192">
        <f t="shared" si="20"/>
        <v>1656.611106425695</v>
      </c>
      <c r="C343" s="135">
        <f t="shared" si="21"/>
        <v>190.6058291462482</v>
      </c>
      <c r="D343" s="135">
        <f t="shared" si="22"/>
        <v>1466.0052772794468</v>
      </c>
      <c r="E343" s="18">
        <f t="shared" si="23"/>
        <v>42101.041384720149</v>
      </c>
    </row>
    <row r="344" spans="1:5" ht="14.4" x14ac:dyDescent="0.3">
      <c r="A344" s="86">
        <v>334</v>
      </c>
      <c r="B344" s="192">
        <f t="shared" si="20"/>
        <v>1656.611106425695</v>
      </c>
      <c r="C344" s="135">
        <f t="shared" si="21"/>
        <v>184.19205605815063</v>
      </c>
      <c r="D344" s="135">
        <f t="shared" si="22"/>
        <v>1472.4190503675443</v>
      </c>
      <c r="E344" s="18">
        <f t="shared" si="23"/>
        <v>40628.622334352607</v>
      </c>
    </row>
    <row r="345" spans="1:5" ht="14.4" x14ac:dyDescent="0.3">
      <c r="A345" s="86">
        <v>335</v>
      </c>
      <c r="B345" s="192">
        <f t="shared" si="20"/>
        <v>1656.611106425695</v>
      </c>
      <c r="C345" s="135">
        <f t="shared" si="21"/>
        <v>177.75022271279263</v>
      </c>
      <c r="D345" s="135">
        <f t="shared" si="22"/>
        <v>1478.8608837129023</v>
      </c>
      <c r="E345" s="18">
        <f t="shared" si="23"/>
        <v>39149.761450639708</v>
      </c>
    </row>
    <row r="346" spans="1:5" ht="14.4" x14ac:dyDescent="0.3">
      <c r="A346" s="86">
        <v>336</v>
      </c>
      <c r="B346" s="192">
        <f t="shared" si="20"/>
        <v>1656.611106425695</v>
      </c>
      <c r="C346" s="135">
        <f t="shared" si="21"/>
        <v>171.28020634654871</v>
      </c>
      <c r="D346" s="135">
        <f t="shared" si="22"/>
        <v>1485.3309000791462</v>
      </c>
      <c r="E346" s="18">
        <f t="shared" si="23"/>
        <v>37664.430550560559</v>
      </c>
    </row>
    <row r="347" spans="1:5" ht="14.4" x14ac:dyDescent="0.3">
      <c r="A347" s="86">
        <v>337</v>
      </c>
      <c r="B347" s="192">
        <f t="shared" si="20"/>
        <v>1656.611106425695</v>
      </c>
      <c r="C347" s="135">
        <f t="shared" si="21"/>
        <v>164.78188365870244</v>
      </c>
      <c r="D347" s="135">
        <f t="shared" si="22"/>
        <v>1491.8292227669926</v>
      </c>
      <c r="E347" s="18">
        <f t="shared" si="23"/>
        <v>36172.601327793564</v>
      </c>
    </row>
    <row r="348" spans="1:5" ht="14.4" x14ac:dyDescent="0.3">
      <c r="A348" s="86">
        <v>338</v>
      </c>
      <c r="B348" s="192">
        <f t="shared" si="20"/>
        <v>1656.611106425695</v>
      </c>
      <c r="C348" s="135">
        <f t="shared" si="21"/>
        <v>158.25513080909681</v>
      </c>
      <c r="D348" s="135">
        <f t="shared" si="22"/>
        <v>1498.3559756165982</v>
      </c>
      <c r="E348" s="18">
        <f t="shared" si="23"/>
        <v>34674.245352176964</v>
      </c>
    </row>
    <row r="349" spans="1:5" ht="14.4" x14ac:dyDescent="0.3">
      <c r="A349" s="86">
        <v>339</v>
      </c>
      <c r="B349" s="192">
        <f t="shared" si="20"/>
        <v>1656.611106425695</v>
      </c>
      <c r="C349" s="135">
        <f t="shared" si="21"/>
        <v>151.6998234157742</v>
      </c>
      <c r="D349" s="135">
        <f t="shared" si="22"/>
        <v>1504.9112830099207</v>
      </c>
      <c r="E349" s="18">
        <f t="shared" si="23"/>
        <v>33169.334069167046</v>
      </c>
    </row>
    <row r="350" spans="1:5" ht="14.4" x14ac:dyDescent="0.3">
      <c r="A350" s="86">
        <v>340</v>
      </c>
      <c r="B350" s="192">
        <f t="shared" si="20"/>
        <v>1656.611106425695</v>
      </c>
      <c r="C350" s="135">
        <f t="shared" si="21"/>
        <v>145.1158365526058</v>
      </c>
      <c r="D350" s="135">
        <f t="shared" si="22"/>
        <v>1511.4952698730892</v>
      </c>
      <c r="E350" s="18">
        <f t="shared" si="23"/>
        <v>31657.838799293957</v>
      </c>
    </row>
    <row r="351" spans="1:5" ht="14.4" x14ac:dyDescent="0.3">
      <c r="A351" s="86">
        <v>341</v>
      </c>
      <c r="B351" s="192">
        <f t="shared" si="20"/>
        <v>1656.611106425695</v>
      </c>
      <c r="C351" s="135">
        <f t="shared" si="21"/>
        <v>138.50304474691106</v>
      </c>
      <c r="D351" s="135">
        <f t="shared" si="22"/>
        <v>1518.108061678784</v>
      </c>
      <c r="E351" s="18">
        <f t="shared" si="23"/>
        <v>30139.730737615173</v>
      </c>
    </row>
    <row r="352" spans="1:5" ht="14.4" x14ac:dyDescent="0.3">
      <c r="A352" s="86">
        <v>342</v>
      </c>
      <c r="B352" s="192">
        <f t="shared" si="20"/>
        <v>1656.611106425695</v>
      </c>
      <c r="C352" s="135">
        <f t="shared" si="21"/>
        <v>131.86132197706638</v>
      </c>
      <c r="D352" s="135">
        <f t="shared" si="22"/>
        <v>1524.7497844486286</v>
      </c>
      <c r="E352" s="18">
        <f t="shared" si="23"/>
        <v>28614.980953166545</v>
      </c>
    </row>
    <row r="353" spans="1:5" ht="14.4" x14ac:dyDescent="0.3">
      <c r="A353" s="86">
        <v>343</v>
      </c>
      <c r="B353" s="192">
        <f t="shared" si="20"/>
        <v>1656.611106425695</v>
      </c>
      <c r="C353" s="135">
        <f t="shared" si="21"/>
        <v>125.19054167010363</v>
      </c>
      <c r="D353" s="135">
        <f t="shared" si="22"/>
        <v>1531.4205647555914</v>
      </c>
      <c r="E353" s="18">
        <f t="shared" si="23"/>
        <v>27083.560388410955</v>
      </c>
    </row>
    <row r="354" spans="1:5" ht="14.4" x14ac:dyDescent="0.3">
      <c r="A354" s="86">
        <v>344</v>
      </c>
      <c r="B354" s="192">
        <f t="shared" si="20"/>
        <v>1656.611106425695</v>
      </c>
      <c r="C354" s="135">
        <f t="shared" si="21"/>
        <v>118.49057669929792</v>
      </c>
      <c r="D354" s="135">
        <f t="shared" si="22"/>
        <v>1538.1205297263971</v>
      </c>
      <c r="E354" s="18">
        <f t="shared" si="23"/>
        <v>25545.439858684556</v>
      </c>
    </row>
    <row r="355" spans="1:5" ht="14.4" x14ac:dyDescent="0.3">
      <c r="A355" s="86">
        <v>345</v>
      </c>
      <c r="B355" s="192">
        <f t="shared" si="20"/>
        <v>1656.611106425695</v>
      </c>
      <c r="C355" s="135">
        <f t="shared" si="21"/>
        <v>111.76129938174492</v>
      </c>
      <c r="D355" s="135">
        <f t="shared" si="22"/>
        <v>1544.84980704395</v>
      </c>
      <c r="E355" s="18">
        <f t="shared" si="23"/>
        <v>24000.590051640607</v>
      </c>
    </row>
    <row r="356" spans="1:5" ht="14.4" x14ac:dyDescent="0.3">
      <c r="A356" s="86">
        <v>346</v>
      </c>
      <c r="B356" s="192">
        <f t="shared" si="20"/>
        <v>1656.611106425695</v>
      </c>
      <c r="C356" s="135">
        <f t="shared" si="21"/>
        <v>105.00258147592764</v>
      </c>
      <c r="D356" s="135">
        <f t="shared" si="22"/>
        <v>1551.6085249497673</v>
      </c>
      <c r="E356" s="18">
        <f t="shared" si="23"/>
        <v>22448.981526690841</v>
      </c>
    </row>
    <row r="357" spans="1:5" ht="14.4" x14ac:dyDescent="0.3">
      <c r="A357" s="86">
        <v>347</v>
      </c>
      <c r="B357" s="192">
        <f t="shared" si="20"/>
        <v>1656.611106425695</v>
      </c>
      <c r="C357" s="135">
        <f t="shared" si="21"/>
        <v>98.214294179272414</v>
      </c>
      <c r="D357" s="135">
        <f t="shared" si="22"/>
        <v>1558.3968122464225</v>
      </c>
      <c r="E357" s="18">
        <f t="shared" si="23"/>
        <v>20890.58471444442</v>
      </c>
    </row>
    <row r="358" spans="1:5" ht="14.4" x14ac:dyDescent="0.3">
      <c r="A358" s="86">
        <v>348</v>
      </c>
      <c r="B358" s="192">
        <f t="shared" si="20"/>
        <v>1656.611106425695</v>
      </c>
      <c r="C358" s="135">
        <f t="shared" si="21"/>
        <v>91.396308125694333</v>
      </c>
      <c r="D358" s="135">
        <f t="shared" si="22"/>
        <v>1565.2147983000007</v>
      </c>
      <c r="E358" s="18">
        <f t="shared" si="23"/>
        <v>19325.36991614442</v>
      </c>
    </row>
    <row r="359" spans="1:5" ht="14.4" x14ac:dyDescent="0.3">
      <c r="A359" s="86">
        <v>349</v>
      </c>
      <c r="B359" s="192">
        <f t="shared" si="20"/>
        <v>1656.611106425695</v>
      </c>
      <c r="C359" s="135">
        <f t="shared" si="21"/>
        <v>84.548493383131827</v>
      </c>
      <c r="D359" s="135">
        <f t="shared" si="22"/>
        <v>1572.062613042563</v>
      </c>
      <c r="E359" s="18">
        <f t="shared" si="23"/>
        <v>17753.307303101858</v>
      </c>
    </row>
    <row r="360" spans="1:5" ht="14.4" x14ac:dyDescent="0.3">
      <c r="A360" s="86">
        <v>350</v>
      </c>
      <c r="B360" s="192">
        <f t="shared" si="20"/>
        <v>1656.611106425695</v>
      </c>
      <c r="C360" s="135">
        <f t="shared" si="21"/>
        <v>77.670719451070624</v>
      </c>
      <c r="D360" s="135">
        <f t="shared" si="22"/>
        <v>1578.9403869746243</v>
      </c>
      <c r="E360" s="18">
        <f t="shared" si="23"/>
        <v>16174.366916127234</v>
      </c>
    </row>
    <row r="361" spans="1:5" ht="14.4" x14ac:dyDescent="0.3">
      <c r="A361" s="86">
        <v>351</v>
      </c>
      <c r="B361" s="192">
        <f t="shared" si="20"/>
        <v>1656.611106425695</v>
      </c>
      <c r="C361" s="135">
        <f t="shared" si="21"/>
        <v>70.762855258056646</v>
      </c>
      <c r="D361" s="135">
        <f t="shared" si="22"/>
        <v>1585.8482511676384</v>
      </c>
      <c r="E361" s="18">
        <f t="shared" si="23"/>
        <v>14588.518664959596</v>
      </c>
    </row>
    <row r="362" spans="1:5" ht="14.4" x14ac:dyDescent="0.3">
      <c r="A362" s="86">
        <v>352</v>
      </c>
      <c r="B362" s="192">
        <f t="shared" si="20"/>
        <v>1656.611106425695</v>
      </c>
      <c r="C362" s="135">
        <f t="shared" si="21"/>
        <v>63.824769159198226</v>
      </c>
      <c r="D362" s="135">
        <f t="shared" si="22"/>
        <v>1592.7863372664967</v>
      </c>
      <c r="E362" s="18">
        <f t="shared" si="23"/>
        <v>12995.7323276931</v>
      </c>
    </row>
    <row r="363" spans="1:5" ht="14.4" x14ac:dyDescent="0.3">
      <c r="A363" s="86">
        <v>353</v>
      </c>
      <c r="B363" s="192">
        <f t="shared" si="20"/>
        <v>1656.611106425695</v>
      </c>
      <c r="C363" s="135">
        <f t="shared" si="21"/>
        <v>56.856328933657309</v>
      </c>
      <c r="D363" s="135">
        <f t="shared" si="22"/>
        <v>1599.7547774920376</v>
      </c>
      <c r="E363" s="18">
        <f t="shared" si="23"/>
        <v>11395.977550201063</v>
      </c>
    </row>
    <row r="364" spans="1:5" ht="14.4" x14ac:dyDescent="0.3">
      <c r="A364" s="86">
        <v>354</v>
      </c>
      <c r="B364" s="192">
        <f t="shared" si="20"/>
        <v>1656.611106425695</v>
      </c>
      <c r="C364" s="135">
        <f t="shared" si="21"/>
        <v>49.857401782129649</v>
      </c>
      <c r="D364" s="135">
        <f t="shared" si="22"/>
        <v>1606.7537046435652</v>
      </c>
      <c r="E364" s="18">
        <f t="shared" si="23"/>
        <v>9789.2238455574989</v>
      </c>
    </row>
    <row r="365" spans="1:5" ht="14.4" x14ac:dyDescent="0.3">
      <c r="A365" s="86">
        <v>355</v>
      </c>
      <c r="B365" s="192">
        <f t="shared" si="20"/>
        <v>1656.611106425695</v>
      </c>
      <c r="C365" s="135">
        <f t="shared" si="21"/>
        <v>42.827854324314053</v>
      </c>
      <c r="D365" s="135">
        <f t="shared" si="22"/>
        <v>1613.7832521013809</v>
      </c>
      <c r="E365" s="18">
        <f t="shared" si="23"/>
        <v>8175.4405934561182</v>
      </c>
    </row>
    <row r="366" spans="1:5" ht="14.4" x14ac:dyDescent="0.3">
      <c r="A366" s="86">
        <v>356</v>
      </c>
      <c r="B366" s="192">
        <f t="shared" si="20"/>
        <v>1656.611106425695</v>
      </c>
      <c r="C366" s="135">
        <f t="shared" si="21"/>
        <v>35.767552596370514</v>
      </c>
      <c r="D366" s="135">
        <f t="shared" si="22"/>
        <v>1620.8435538293245</v>
      </c>
      <c r="E366" s="18">
        <f t="shared" si="23"/>
        <v>6554.597039626794</v>
      </c>
    </row>
    <row r="367" spans="1:5" ht="14.4" x14ac:dyDescent="0.3">
      <c r="A367" s="86">
        <v>357</v>
      </c>
      <c r="B367" s="192">
        <f t="shared" si="20"/>
        <v>1656.611106425695</v>
      </c>
      <c r="C367" s="135">
        <f t="shared" si="21"/>
        <v>28.676362048367221</v>
      </c>
      <c r="D367" s="135">
        <f t="shared" si="22"/>
        <v>1627.9347443773277</v>
      </c>
      <c r="E367" s="18">
        <f t="shared" si="23"/>
        <v>4926.6622952494663</v>
      </c>
    </row>
    <row r="368" spans="1:5" ht="14.4" x14ac:dyDescent="0.3">
      <c r="A368" s="86">
        <v>358</v>
      </c>
      <c r="B368" s="192">
        <f t="shared" si="20"/>
        <v>1656.611106425695</v>
      </c>
      <c r="C368" s="135">
        <f t="shared" si="21"/>
        <v>21.554147541716414</v>
      </c>
      <c r="D368" s="135">
        <f t="shared" si="22"/>
        <v>1635.0569588839785</v>
      </c>
      <c r="E368" s="18">
        <f t="shared" si="23"/>
        <v>3291.6053363654878</v>
      </c>
    </row>
    <row r="369" spans="1:5" ht="14.4" x14ac:dyDescent="0.3">
      <c r="A369" s="86">
        <v>359</v>
      </c>
      <c r="B369" s="192">
        <f t="shared" si="20"/>
        <v>1656.611106425695</v>
      </c>
      <c r="C369" s="135">
        <f t="shared" si="21"/>
        <v>14.400773346599008</v>
      </c>
      <c r="D369" s="135">
        <f t="shared" si="22"/>
        <v>1642.210333079096</v>
      </c>
      <c r="E369" s="18">
        <f t="shared" si="23"/>
        <v>1649.3950032863918</v>
      </c>
    </row>
    <row r="370" spans="1:5" ht="14.4" x14ac:dyDescent="0.3">
      <c r="A370" s="86">
        <v>360</v>
      </c>
      <c r="B370" s="192">
        <f t="shared" si="20"/>
        <v>1656.611106425695</v>
      </c>
      <c r="C370" s="135">
        <f t="shared" si="21"/>
        <v>7.2161031393779629</v>
      </c>
      <c r="D370" s="135">
        <f t="shared" si="22"/>
        <v>1649.395003286317</v>
      </c>
      <c r="E370" s="18">
        <f t="shared" si="23"/>
        <v>7.4805939220823348E-11</v>
      </c>
    </row>
    <row r="371" spans="1:5" x14ac:dyDescent="0.25">
      <c r="B371" s="195">
        <f>SUM(B11:B370)</f>
        <v>596379.99831324874</v>
      </c>
      <c r="C371" s="195">
        <f>SUM(C11:C370)</f>
        <v>296379.99831325031</v>
      </c>
      <c r="D371" s="195">
        <f>SUM(D11:D370)</f>
        <v>300000</v>
      </c>
    </row>
  </sheetData>
  <pageMargins left="0.75" right="0.75" top="1" bottom="1" header="0.5" footer="0.5"/>
  <pageSetup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49"/>
  <sheetViews>
    <sheetView topLeftCell="A2" zoomScale="130" zoomScaleNormal="130" workbookViewId="0">
      <selection activeCell="B10" sqref="B10"/>
    </sheetView>
  </sheetViews>
  <sheetFormatPr defaultRowHeight="14.4" x14ac:dyDescent="0.3"/>
  <cols>
    <col min="1" max="1" width="22.44140625" style="84" bestFit="1" customWidth="1"/>
    <col min="2" max="2" width="13" style="84" bestFit="1" customWidth="1"/>
    <col min="3" max="3" width="13.44140625" style="84" customWidth="1"/>
    <col min="4" max="4" width="10.6640625" style="84" bestFit="1" customWidth="1"/>
    <col min="5" max="5" width="14.5546875" style="84" bestFit="1" customWidth="1"/>
    <col min="6" max="6" width="16.6640625" style="84" bestFit="1" customWidth="1"/>
    <col min="7" max="7" width="18.44140625" style="84" bestFit="1" customWidth="1"/>
    <col min="257" max="257" width="12.88671875" bestFit="1" customWidth="1"/>
    <col min="258" max="258" width="13.5546875" bestFit="1" customWidth="1"/>
    <col min="259" max="259" width="12.33203125" bestFit="1" customWidth="1"/>
    <col min="260" max="260" width="13.109375" bestFit="1" customWidth="1"/>
    <col min="261" max="261" width="13.109375" customWidth="1"/>
    <col min="513" max="513" width="12.88671875" bestFit="1" customWidth="1"/>
    <col min="514" max="514" width="13.5546875" bestFit="1" customWidth="1"/>
    <col min="515" max="515" width="12.33203125" bestFit="1" customWidth="1"/>
    <col min="516" max="516" width="13.109375" bestFit="1" customWidth="1"/>
    <col min="517" max="517" width="13.109375" customWidth="1"/>
    <col min="769" max="769" width="12.88671875" bestFit="1" customWidth="1"/>
    <col min="770" max="770" width="13.5546875" bestFit="1" customWidth="1"/>
    <col min="771" max="771" width="12.33203125" bestFit="1" customWidth="1"/>
    <col min="772" max="772" width="13.109375" bestFit="1" customWidth="1"/>
    <col min="773" max="773" width="13.109375" customWidth="1"/>
    <col min="1025" max="1025" width="12.88671875" bestFit="1" customWidth="1"/>
    <col min="1026" max="1026" width="13.5546875" bestFit="1" customWidth="1"/>
    <col min="1027" max="1027" width="12.33203125" bestFit="1" customWidth="1"/>
    <col min="1028" max="1028" width="13.109375" bestFit="1" customWidth="1"/>
    <col min="1029" max="1029" width="13.109375" customWidth="1"/>
    <col min="1281" max="1281" width="12.88671875" bestFit="1" customWidth="1"/>
    <col min="1282" max="1282" width="13.5546875" bestFit="1" customWidth="1"/>
    <col min="1283" max="1283" width="12.33203125" bestFit="1" customWidth="1"/>
    <col min="1284" max="1284" width="13.109375" bestFit="1" customWidth="1"/>
    <col min="1285" max="1285" width="13.109375" customWidth="1"/>
    <col min="1537" max="1537" width="12.88671875" bestFit="1" customWidth="1"/>
    <col min="1538" max="1538" width="13.5546875" bestFit="1" customWidth="1"/>
    <col min="1539" max="1539" width="12.33203125" bestFit="1" customWidth="1"/>
    <col min="1540" max="1540" width="13.109375" bestFit="1" customWidth="1"/>
    <col min="1541" max="1541" width="13.109375" customWidth="1"/>
    <col min="1793" max="1793" width="12.88671875" bestFit="1" customWidth="1"/>
    <col min="1794" max="1794" width="13.5546875" bestFit="1" customWidth="1"/>
    <col min="1795" max="1795" width="12.33203125" bestFit="1" customWidth="1"/>
    <col min="1796" max="1796" width="13.109375" bestFit="1" customWidth="1"/>
    <col min="1797" max="1797" width="13.109375" customWidth="1"/>
    <col min="2049" max="2049" width="12.88671875" bestFit="1" customWidth="1"/>
    <col min="2050" max="2050" width="13.5546875" bestFit="1" customWidth="1"/>
    <col min="2051" max="2051" width="12.33203125" bestFit="1" customWidth="1"/>
    <col min="2052" max="2052" width="13.109375" bestFit="1" customWidth="1"/>
    <col min="2053" max="2053" width="13.109375" customWidth="1"/>
    <col min="2305" max="2305" width="12.88671875" bestFit="1" customWidth="1"/>
    <col min="2306" max="2306" width="13.5546875" bestFit="1" customWidth="1"/>
    <col min="2307" max="2307" width="12.33203125" bestFit="1" customWidth="1"/>
    <col min="2308" max="2308" width="13.109375" bestFit="1" customWidth="1"/>
    <col min="2309" max="2309" width="13.109375" customWidth="1"/>
    <col min="2561" max="2561" width="12.88671875" bestFit="1" customWidth="1"/>
    <col min="2562" max="2562" width="13.5546875" bestFit="1" customWidth="1"/>
    <col min="2563" max="2563" width="12.33203125" bestFit="1" customWidth="1"/>
    <col min="2564" max="2564" width="13.109375" bestFit="1" customWidth="1"/>
    <col min="2565" max="2565" width="13.109375" customWidth="1"/>
    <col min="2817" max="2817" width="12.88671875" bestFit="1" customWidth="1"/>
    <col min="2818" max="2818" width="13.5546875" bestFit="1" customWidth="1"/>
    <col min="2819" max="2819" width="12.33203125" bestFit="1" customWidth="1"/>
    <col min="2820" max="2820" width="13.109375" bestFit="1" customWidth="1"/>
    <col min="2821" max="2821" width="13.109375" customWidth="1"/>
    <col min="3073" max="3073" width="12.88671875" bestFit="1" customWidth="1"/>
    <col min="3074" max="3074" width="13.5546875" bestFit="1" customWidth="1"/>
    <col min="3075" max="3075" width="12.33203125" bestFit="1" customWidth="1"/>
    <col min="3076" max="3076" width="13.109375" bestFit="1" customWidth="1"/>
    <col min="3077" max="3077" width="13.109375" customWidth="1"/>
    <col min="3329" max="3329" width="12.88671875" bestFit="1" customWidth="1"/>
    <col min="3330" max="3330" width="13.5546875" bestFit="1" customWidth="1"/>
    <col min="3331" max="3331" width="12.33203125" bestFit="1" customWidth="1"/>
    <col min="3332" max="3332" width="13.109375" bestFit="1" customWidth="1"/>
    <col min="3333" max="3333" width="13.109375" customWidth="1"/>
    <col min="3585" max="3585" width="12.88671875" bestFit="1" customWidth="1"/>
    <col min="3586" max="3586" width="13.5546875" bestFit="1" customWidth="1"/>
    <col min="3587" max="3587" width="12.33203125" bestFit="1" customWidth="1"/>
    <col min="3588" max="3588" width="13.109375" bestFit="1" customWidth="1"/>
    <col min="3589" max="3589" width="13.109375" customWidth="1"/>
    <col min="3841" max="3841" width="12.88671875" bestFit="1" customWidth="1"/>
    <col min="3842" max="3842" width="13.5546875" bestFit="1" customWidth="1"/>
    <col min="3843" max="3843" width="12.33203125" bestFit="1" customWidth="1"/>
    <col min="3844" max="3844" width="13.109375" bestFit="1" customWidth="1"/>
    <col min="3845" max="3845" width="13.109375" customWidth="1"/>
    <col min="4097" max="4097" width="12.88671875" bestFit="1" customWidth="1"/>
    <col min="4098" max="4098" width="13.5546875" bestFit="1" customWidth="1"/>
    <col min="4099" max="4099" width="12.33203125" bestFit="1" customWidth="1"/>
    <col min="4100" max="4100" width="13.109375" bestFit="1" customWidth="1"/>
    <col min="4101" max="4101" width="13.109375" customWidth="1"/>
    <col min="4353" max="4353" width="12.88671875" bestFit="1" customWidth="1"/>
    <col min="4354" max="4354" width="13.5546875" bestFit="1" customWidth="1"/>
    <col min="4355" max="4355" width="12.33203125" bestFit="1" customWidth="1"/>
    <col min="4356" max="4356" width="13.109375" bestFit="1" customWidth="1"/>
    <col min="4357" max="4357" width="13.109375" customWidth="1"/>
    <col min="4609" max="4609" width="12.88671875" bestFit="1" customWidth="1"/>
    <col min="4610" max="4610" width="13.5546875" bestFit="1" customWidth="1"/>
    <col min="4611" max="4611" width="12.33203125" bestFit="1" customWidth="1"/>
    <col min="4612" max="4612" width="13.109375" bestFit="1" customWidth="1"/>
    <col min="4613" max="4613" width="13.109375" customWidth="1"/>
    <col min="4865" max="4865" width="12.88671875" bestFit="1" customWidth="1"/>
    <col min="4866" max="4866" width="13.5546875" bestFit="1" customWidth="1"/>
    <col min="4867" max="4867" width="12.33203125" bestFit="1" customWidth="1"/>
    <col min="4868" max="4868" width="13.109375" bestFit="1" customWidth="1"/>
    <col min="4869" max="4869" width="13.109375" customWidth="1"/>
    <col min="5121" max="5121" width="12.88671875" bestFit="1" customWidth="1"/>
    <col min="5122" max="5122" width="13.5546875" bestFit="1" customWidth="1"/>
    <col min="5123" max="5123" width="12.33203125" bestFit="1" customWidth="1"/>
    <col min="5124" max="5124" width="13.109375" bestFit="1" customWidth="1"/>
    <col min="5125" max="5125" width="13.109375" customWidth="1"/>
    <col min="5377" max="5377" width="12.88671875" bestFit="1" customWidth="1"/>
    <col min="5378" max="5378" width="13.5546875" bestFit="1" customWidth="1"/>
    <col min="5379" max="5379" width="12.33203125" bestFit="1" customWidth="1"/>
    <col min="5380" max="5380" width="13.109375" bestFit="1" customWidth="1"/>
    <col min="5381" max="5381" width="13.109375" customWidth="1"/>
    <col min="5633" max="5633" width="12.88671875" bestFit="1" customWidth="1"/>
    <col min="5634" max="5634" width="13.5546875" bestFit="1" customWidth="1"/>
    <col min="5635" max="5635" width="12.33203125" bestFit="1" customWidth="1"/>
    <col min="5636" max="5636" width="13.109375" bestFit="1" customWidth="1"/>
    <col min="5637" max="5637" width="13.109375" customWidth="1"/>
    <col min="5889" max="5889" width="12.88671875" bestFit="1" customWidth="1"/>
    <col min="5890" max="5890" width="13.5546875" bestFit="1" customWidth="1"/>
    <col min="5891" max="5891" width="12.33203125" bestFit="1" customWidth="1"/>
    <col min="5892" max="5892" width="13.109375" bestFit="1" customWidth="1"/>
    <col min="5893" max="5893" width="13.109375" customWidth="1"/>
    <col min="6145" max="6145" width="12.88671875" bestFit="1" customWidth="1"/>
    <col min="6146" max="6146" width="13.5546875" bestFit="1" customWidth="1"/>
    <col min="6147" max="6147" width="12.33203125" bestFit="1" customWidth="1"/>
    <col min="6148" max="6148" width="13.109375" bestFit="1" customWidth="1"/>
    <col min="6149" max="6149" width="13.109375" customWidth="1"/>
    <col min="6401" max="6401" width="12.88671875" bestFit="1" customWidth="1"/>
    <col min="6402" max="6402" width="13.5546875" bestFit="1" customWidth="1"/>
    <col min="6403" max="6403" width="12.33203125" bestFit="1" customWidth="1"/>
    <col min="6404" max="6404" width="13.109375" bestFit="1" customWidth="1"/>
    <col min="6405" max="6405" width="13.109375" customWidth="1"/>
    <col min="6657" max="6657" width="12.88671875" bestFit="1" customWidth="1"/>
    <col min="6658" max="6658" width="13.5546875" bestFit="1" customWidth="1"/>
    <col min="6659" max="6659" width="12.33203125" bestFit="1" customWidth="1"/>
    <col min="6660" max="6660" width="13.109375" bestFit="1" customWidth="1"/>
    <col min="6661" max="6661" width="13.109375" customWidth="1"/>
    <col min="6913" max="6913" width="12.88671875" bestFit="1" customWidth="1"/>
    <col min="6914" max="6914" width="13.5546875" bestFit="1" customWidth="1"/>
    <col min="6915" max="6915" width="12.33203125" bestFit="1" customWidth="1"/>
    <col min="6916" max="6916" width="13.109375" bestFit="1" customWidth="1"/>
    <col min="6917" max="6917" width="13.109375" customWidth="1"/>
    <col min="7169" max="7169" width="12.88671875" bestFit="1" customWidth="1"/>
    <col min="7170" max="7170" width="13.5546875" bestFit="1" customWidth="1"/>
    <col min="7171" max="7171" width="12.33203125" bestFit="1" customWidth="1"/>
    <col min="7172" max="7172" width="13.109375" bestFit="1" customWidth="1"/>
    <col min="7173" max="7173" width="13.109375" customWidth="1"/>
    <col min="7425" max="7425" width="12.88671875" bestFit="1" customWidth="1"/>
    <col min="7426" max="7426" width="13.5546875" bestFit="1" customWidth="1"/>
    <col min="7427" max="7427" width="12.33203125" bestFit="1" customWidth="1"/>
    <col min="7428" max="7428" width="13.109375" bestFit="1" customWidth="1"/>
    <col min="7429" max="7429" width="13.109375" customWidth="1"/>
    <col min="7681" max="7681" width="12.88671875" bestFit="1" customWidth="1"/>
    <col min="7682" max="7682" width="13.5546875" bestFit="1" customWidth="1"/>
    <col min="7683" max="7683" width="12.33203125" bestFit="1" customWidth="1"/>
    <col min="7684" max="7684" width="13.109375" bestFit="1" customWidth="1"/>
    <col min="7685" max="7685" width="13.109375" customWidth="1"/>
    <col min="7937" max="7937" width="12.88671875" bestFit="1" customWidth="1"/>
    <col min="7938" max="7938" width="13.5546875" bestFit="1" customWidth="1"/>
    <col min="7939" max="7939" width="12.33203125" bestFit="1" customWidth="1"/>
    <col min="7940" max="7940" width="13.109375" bestFit="1" customWidth="1"/>
    <col min="7941" max="7941" width="13.109375" customWidth="1"/>
    <col min="8193" max="8193" width="12.88671875" bestFit="1" customWidth="1"/>
    <col min="8194" max="8194" width="13.5546875" bestFit="1" customWidth="1"/>
    <col min="8195" max="8195" width="12.33203125" bestFit="1" customWidth="1"/>
    <col min="8196" max="8196" width="13.109375" bestFit="1" customWidth="1"/>
    <col min="8197" max="8197" width="13.109375" customWidth="1"/>
    <col min="8449" max="8449" width="12.88671875" bestFit="1" customWidth="1"/>
    <col min="8450" max="8450" width="13.5546875" bestFit="1" customWidth="1"/>
    <col min="8451" max="8451" width="12.33203125" bestFit="1" customWidth="1"/>
    <col min="8452" max="8452" width="13.109375" bestFit="1" customWidth="1"/>
    <col min="8453" max="8453" width="13.109375" customWidth="1"/>
    <col min="8705" max="8705" width="12.88671875" bestFit="1" customWidth="1"/>
    <col min="8706" max="8706" width="13.5546875" bestFit="1" customWidth="1"/>
    <col min="8707" max="8707" width="12.33203125" bestFit="1" customWidth="1"/>
    <col min="8708" max="8708" width="13.109375" bestFit="1" customWidth="1"/>
    <col min="8709" max="8709" width="13.109375" customWidth="1"/>
    <col min="8961" max="8961" width="12.88671875" bestFit="1" customWidth="1"/>
    <col min="8962" max="8962" width="13.5546875" bestFit="1" customWidth="1"/>
    <col min="8963" max="8963" width="12.33203125" bestFit="1" customWidth="1"/>
    <col min="8964" max="8964" width="13.109375" bestFit="1" customWidth="1"/>
    <col min="8965" max="8965" width="13.109375" customWidth="1"/>
    <col min="9217" max="9217" width="12.88671875" bestFit="1" customWidth="1"/>
    <col min="9218" max="9218" width="13.5546875" bestFit="1" customWidth="1"/>
    <col min="9219" max="9219" width="12.33203125" bestFit="1" customWidth="1"/>
    <col min="9220" max="9220" width="13.109375" bestFit="1" customWidth="1"/>
    <col min="9221" max="9221" width="13.109375" customWidth="1"/>
    <col min="9473" max="9473" width="12.88671875" bestFit="1" customWidth="1"/>
    <col min="9474" max="9474" width="13.5546875" bestFit="1" customWidth="1"/>
    <col min="9475" max="9475" width="12.33203125" bestFit="1" customWidth="1"/>
    <col min="9476" max="9476" width="13.109375" bestFit="1" customWidth="1"/>
    <col min="9477" max="9477" width="13.109375" customWidth="1"/>
    <col min="9729" max="9729" width="12.88671875" bestFit="1" customWidth="1"/>
    <col min="9730" max="9730" width="13.5546875" bestFit="1" customWidth="1"/>
    <col min="9731" max="9731" width="12.33203125" bestFit="1" customWidth="1"/>
    <col min="9732" max="9732" width="13.109375" bestFit="1" customWidth="1"/>
    <col min="9733" max="9733" width="13.109375" customWidth="1"/>
    <col min="9985" max="9985" width="12.88671875" bestFit="1" customWidth="1"/>
    <col min="9986" max="9986" width="13.5546875" bestFit="1" customWidth="1"/>
    <col min="9987" max="9987" width="12.33203125" bestFit="1" customWidth="1"/>
    <col min="9988" max="9988" width="13.109375" bestFit="1" customWidth="1"/>
    <col min="9989" max="9989" width="13.109375" customWidth="1"/>
    <col min="10241" max="10241" width="12.88671875" bestFit="1" customWidth="1"/>
    <col min="10242" max="10242" width="13.5546875" bestFit="1" customWidth="1"/>
    <col min="10243" max="10243" width="12.33203125" bestFit="1" customWidth="1"/>
    <col min="10244" max="10244" width="13.109375" bestFit="1" customWidth="1"/>
    <col min="10245" max="10245" width="13.109375" customWidth="1"/>
    <col min="10497" max="10497" width="12.88671875" bestFit="1" customWidth="1"/>
    <col min="10498" max="10498" width="13.5546875" bestFit="1" customWidth="1"/>
    <col min="10499" max="10499" width="12.33203125" bestFit="1" customWidth="1"/>
    <col min="10500" max="10500" width="13.109375" bestFit="1" customWidth="1"/>
    <col min="10501" max="10501" width="13.109375" customWidth="1"/>
    <col min="10753" max="10753" width="12.88671875" bestFit="1" customWidth="1"/>
    <col min="10754" max="10754" width="13.5546875" bestFit="1" customWidth="1"/>
    <col min="10755" max="10755" width="12.33203125" bestFit="1" customWidth="1"/>
    <col min="10756" max="10756" width="13.109375" bestFit="1" customWidth="1"/>
    <col min="10757" max="10757" width="13.109375" customWidth="1"/>
    <col min="11009" max="11009" width="12.88671875" bestFit="1" customWidth="1"/>
    <col min="11010" max="11010" width="13.5546875" bestFit="1" customWidth="1"/>
    <col min="11011" max="11011" width="12.33203125" bestFit="1" customWidth="1"/>
    <col min="11012" max="11012" width="13.109375" bestFit="1" customWidth="1"/>
    <col min="11013" max="11013" width="13.109375" customWidth="1"/>
    <col min="11265" max="11265" width="12.88671875" bestFit="1" customWidth="1"/>
    <col min="11266" max="11266" width="13.5546875" bestFit="1" customWidth="1"/>
    <col min="11267" max="11267" width="12.33203125" bestFit="1" customWidth="1"/>
    <col min="11268" max="11268" width="13.109375" bestFit="1" customWidth="1"/>
    <col min="11269" max="11269" width="13.109375" customWidth="1"/>
    <col min="11521" max="11521" width="12.88671875" bestFit="1" customWidth="1"/>
    <col min="11522" max="11522" width="13.5546875" bestFit="1" customWidth="1"/>
    <col min="11523" max="11523" width="12.33203125" bestFit="1" customWidth="1"/>
    <col min="11524" max="11524" width="13.109375" bestFit="1" customWidth="1"/>
    <col min="11525" max="11525" width="13.109375" customWidth="1"/>
    <col min="11777" max="11777" width="12.88671875" bestFit="1" customWidth="1"/>
    <col min="11778" max="11778" width="13.5546875" bestFit="1" customWidth="1"/>
    <col min="11779" max="11779" width="12.33203125" bestFit="1" customWidth="1"/>
    <col min="11780" max="11780" width="13.109375" bestFit="1" customWidth="1"/>
    <col min="11781" max="11781" width="13.109375" customWidth="1"/>
    <col min="12033" max="12033" width="12.88671875" bestFit="1" customWidth="1"/>
    <col min="12034" max="12034" width="13.5546875" bestFit="1" customWidth="1"/>
    <col min="12035" max="12035" width="12.33203125" bestFit="1" customWidth="1"/>
    <col min="12036" max="12036" width="13.109375" bestFit="1" customWidth="1"/>
    <col min="12037" max="12037" width="13.109375" customWidth="1"/>
    <col min="12289" max="12289" width="12.88671875" bestFit="1" customWidth="1"/>
    <col min="12290" max="12290" width="13.5546875" bestFit="1" customWidth="1"/>
    <col min="12291" max="12291" width="12.33203125" bestFit="1" customWidth="1"/>
    <col min="12292" max="12292" width="13.109375" bestFit="1" customWidth="1"/>
    <col min="12293" max="12293" width="13.109375" customWidth="1"/>
    <col min="12545" max="12545" width="12.88671875" bestFit="1" customWidth="1"/>
    <col min="12546" max="12546" width="13.5546875" bestFit="1" customWidth="1"/>
    <col min="12547" max="12547" width="12.33203125" bestFit="1" customWidth="1"/>
    <col min="12548" max="12548" width="13.109375" bestFit="1" customWidth="1"/>
    <col min="12549" max="12549" width="13.109375" customWidth="1"/>
    <col min="12801" max="12801" width="12.88671875" bestFit="1" customWidth="1"/>
    <col min="12802" max="12802" width="13.5546875" bestFit="1" customWidth="1"/>
    <col min="12803" max="12803" width="12.33203125" bestFit="1" customWidth="1"/>
    <col min="12804" max="12804" width="13.109375" bestFit="1" customWidth="1"/>
    <col min="12805" max="12805" width="13.109375" customWidth="1"/>
    <col min="13057" max="13057" width="12.88671875" bestFit="1" customWidth="1"/>
    <col min="13058" max="13058" width="13.5546875" bestFit="1" customWidth="1"/>
    <col min="13059" max="13059" width="12.33203125" bestFit="1" customWidth="1"/>
    <col min="13060" max="13060" width="13.109375" bestFit="1" customWidth="1"/>
    <col min="13061" max="13061" width="13.109375" customWidth="1"/>
    <col min="13313" max="13313" width="12.88671875" bestFit="1" customWidth="1"/>
    <col min="13314" max="13314" width="13.5546875" bestFit="1" customWidth="1"/>
    <col min="13315" max="13315" width="12.33203125" bestFit="1" customWidth="1"/>
    <col min="13316" max="13316" width="13.109375" bestFit="1" customWidth="1"/>
    <col min="13317" max="13317" width="13.109375" customWidth="1"/>
    <col min="13569" max="13569" width="12.88671875" bestFit="1" customWidth="1"/>
    <col min="13570" max="13570" width="13.5546875" bestFit="1" customWidth="1"/>
    <col min="13571" max="13571" width="12.33203125" bestFit="1" customWidth="1"/>
    <col min="13572" max="13572" width="13.109375" bestFit="1" customWidth="1"/>
    <col min="13573" max="13573" width="13.109375" customWidth="1"/>
    <col min="13825" max="13825" width="12.88671875" bestFit="1" customWidth="1"/>
    <col min="13826" max="13826" width="13.5546875" bestFit="1" customWidth="1"/>
    <col min="13827" max="13827" width="12.33203125" bestFit="1" customWidth="1"/>
    <col min="13828" max="13828" width="13.109375" bestFit="1" customWidth="1"/>
    <col min="13829" max="13829" width="13.109375" customWidth="1"/>
    <col min="14081" max="14081" width="12.88671875" bestFit="1" customWidth="1"/>
    <col min="14082" max="14082" width="13.5546875" bestFit="1" customWidth="1"/>
    <col min="14083" max="14083" width="12.33203125" bestFit="1" customWidth="1"/>
    <col min="14084" max="14084" width="13.109375" bestFit="1" customWidth="1"/>
    <col min="14085" max="14085" width="13.109375" customWidth="1"/>
    <col min="14337" max="14337" width="12.88671875" bestFit="1" customWidth="1"/>
    <col min="14338" max="14338" width="13.5546875" bestFit="1" customWidth="1"/>
    <col min="14339" max="14339" width="12.33203125" bestFit="1" customWidth="1"/>
    <col min="14340" max="14340" width="13.109375" bestFit="1" customWidth="1"/>
    <col min="14341" max="14341" width="13.109375" customWidth="1"/>
    <col min="14593" max="14593" width="12.88671875" bestFit="1" customWidth="1"/>
    <col min="14594" max="14594" width="13.5546875" bestFit="1" customWidth="1"/>
    <col min="14595" max="14595" width="12.33203125" bestFit="1" customWidth="1"/>
    <col min="14596" max="14596" width="13.109375" bestFit="1" customWidth="1"/>
    <col min="14597" max="14597" width="13.109375" customWidth="1"/>
    <col min="14849" max="14849" width="12.88671875" bestFit="1" customWidth="1"/>
    <col min="14850" max="14850" width="13.5546875" bestFit="1" customWidth="1"/>
    <col min="14851" max="14851" width="12.33203125" bestFit="1" customWidth="1"/>
    <col min="14852" max="14852" width="13.109375" bestFit="1" customWidth="1"/>
    <col min="14853" max="14853" width="13.109375" customWidth="1"/>
    <col min="15105" max="15105" width="12.88671875" bestFit="1" customWidth="1"/>
    <col min="15106" max="15106" width="13.5546875" bestFit="1" customWidth="1"/>
    <col min="15107" max="15107" width="12.33203125" bestFit="1" customWidth="1"/>
    <col min="15108" max="15108" width="13.109375" bestFit="1" customWidth="1"/>
    <col min="15109" max="15109" width="13.109375" customWidth="1"/>
    <col min="15361" max="15361" width="12.88671875" bestFit="1" customWidth="1"/>
    <col min="15362" max="15362" width="13.5546875" bestFit="1" customWidth="1"/>
    <col min="15363" max="15363" width="12.33203125" bestFit="1" customWidth="1"/>
    <col min="15364" max="15364" width="13.109375" bestFit="1" customWidth="1"/>
    <col min="15365" max="15365" width="13.109375" customWidth="1"/>
    <col min="15617" max="15617" width="12.88671875" bestFit="1" customWidth="1"/>
    <col min="15618" max="15618" width="13.5546875" bestFit="1" customWidth="1"/>
    <col min="15619" max="15619" width="12.33203125" bestFit="1" customWidth="1"/>
    <col min="15620" max="15620" width="13.109375" bestFit="1" customWidth="1"/>
    <col min="15621" max="15621" width="13.109375" customWidth="1"/>
    <col min="15873" max="15873" width="12.88671875" bestFit="1" customWidth="1"/>
    <col min="15874" max="15874" width="13.5546875" bestFit="1" customWidth="1"/>
    <col min="15875" max="15875" width="12.33203125" bestFit="1" customWidth="1"/>
    <col min="15876" max="15876" width="13.109375" bestFit="1" customWidth="1"/>
    <col min="15877" max="15877" width="13.109375" customWidth="1"/>
    <col min="16129" max="16129" width="12.88671875" bestFit="1" customWidth="1"/>
    <col min="16130" max="16130" width="13.5546875" bestFit="1" customWidth="1"/>
    <col min="16131" max="16131" width="12.33203125" bestFit="1" customWidth="1"/>
    <col min="16132" max="16132" width="13.109375" bestFit="1" customWidth="1"/>
    <col min="16133" max="16133" width="13.109375" customWidth="1"/>
  </cols>
  <sheetData>
    <row r="1" spans="1:5" x14ac:dyDescent="0.3">
      <c r="A1" s="193" t="s">
        <v>135</v>
      </c>
      <c r="B1" s="185">
        <v>1000000</v>
      </c>
    </row>
    <row r="2" spans="1:5" x14ac:dyDescent="0.3">
      <c r="A2" s="193" t="s">
        <v>136</v>
      </c>
      <c r="B2" s="186">
        <v>7.0000000000000007E-2</v>
      </c>
    </row>
    <row r="3" spans="1:5" x14ac:dyDescent="0.3">
      <c r="A3" s="193" t="s">
        <v>137</v>
      </c>
      <c r="B3" s="188">
        <f>B2/B5</f>
        <v>3.5000000000000003E-2</v>
      </c>
    </row>
    <row r="4" spans="1:5" x14ac:dyDescent="0.3">
      <c r="A4" s="193" t="s">
        <v>10</v>
      </c>
      <c r="B4" s="187">
        <v>20</v>
      </c>
    </row>
    <row r="5" spans="1:5" x14ac:dyDescent="0.3">
      <c r="A5" s="193" t="s">
        <v>138</v>
      </c>
      <c r="B5" s="187">
        <v>2</v>
      </c>
    </row>
    <row r="6" spans="1:5" x14ac:dyDescent="0.3">
      <c r="A6" s="193" t="s">
        <v>12</v>
      </c>
      <c r="B6" s="188">
        <f>B4*B5</f>
        <v>40</v>
      </c>
    </row>
    <row r="8" spans="1:5" ht="40.200000000000003" x14ac:dyDescent="0.3">
      <c r="A8" s="196" t="s">
        <v>48</v>
      </c>
      <c r="B8" s="194" t="s">
        <v>139</v>
      </c>
      <c r="C8" s="196" t="s">
        <v>140</v>
      </c>
      <c r="D8" s="196" t="s">
        <v>141</v>
      </c>
      <c r="E8" s="196" t="s">
        <v>142</v>
      </c>
    </row>
    <row r="9" spans="1:5" x14ac:dyDescent="0.3">
      <c r="A9" s="90">
        <v>0</v>
      </c>
      <c r="B9" s="91"/>
      <c r="C9" s="91"/>
      <c r="D9" s="91"/>
      <c r="E9" s="91">
        <f>B1</f>
        <v>1000000</v>
      </c>
    </row>
    <row r="10" spans="1:5" x14ac:dyDescent="0.3">
      <c r="A10" s="86">
        <f t="shared" ref="A10:A49" si="0">A9+1</f>
        <v>1</v>
      </c>
      <c r="B10" s="92"/>
      <c r="C10" s="92"/>
      <c r="D10" s="92"/>
      <c r="E10" s="92"/>
    </row>
    <row r="11" spans="1:5" x14ac:dyDescent="0.3">
      <c r="A11" s="86">
        <f t="shared" si="0"/>
        <v>2</v>
      </c>
      <c r="B11" s="92"/>
      <c r="C11" s="92"/>
      <c r="D11" s="92"/>
      <c r="E11" s="92"/>
    </row>
    <row r="12" spans="1:5" x14ac:dyDescent="0.3">
      <c r="A12" s="86">
        <f t="shared" si="0"/>
        <v>3</v>
      </c>
      <c r="B12" s="92"/>
      <c r="C12" s="92"/>
      <c r="D12" s="92"/>
      <c r="E12" s="92"/>
    </row>
    <row r="13" spans="1:5" x14ac:dyDescent="0.3">
      <c r="A13" s="86">
        <f t="shared" si="0"/>
        <v>4</v>
      </c>
      <c r="B13" s="92"/>
      <c r="C13" s="92"/>
      <c r="D13" s="92"/>
      <c r="E13" s="92"/>
    </row>
    <row r="14" spans="1:5" x14ac:dyDescent="0.3">
      <c r="A14" s="86">
        <f t="shared" si="0"/>
        <v>5</v>
      </c>
      <c r="B14" s="92"/>
      <c r="C14" s="92"/>
      <c r="D14" s="92"/>
      <c r="E14" s="92"/>
    </row>
    <row r="15" spans="1:5" x14ac:dyDescent="0.3">
      <c r="A15" s="86">
        <f t="shared" si="0"/>
        <v>6</v>
      </c>
      <c r="B15" s="92"/>
      <c r="C15" s="92"/>
      <c r="D15" s="92"/>
      <c r="E15" s="92"/>
    </row>
    <row r="16" spans="1:5" x14ac:dyDescent="0.3">
      <c r="A16" s="86">
        <f t="shared" si="0"/>
        <v>7</v>
      </c>
      <c r="B16" s="92"/>
      <c r="C16" s="92"/>
      <c r="D16" s="92"/>
      <c r="E16" s="92"/>
    </row>
    <row r="17" spans="1:5" x14ac:dyDescent="0.3">
      <c r="A17" s="86">
        <f t="shared" si="0"/>
        <v>8</v>
      </c>
      <c r="B17" s="92"/>
      <c r="C17" s="92"/>
      <c r="D17" s="92"/>
      <c r="E17" s="92"/>
    </row>
    <row r="18" spans="1:5" x14ac:dyDescent="0.3">
      <c r="A18" s="86">
        <f t="shared" si="0"/>
        <v>9</v>
      </c>
      <c r="B18" s="92"/>
      <c r="C18" s="92"/>
      <c r="D18" s="92"/>
      <c r="E18" s="92"/>
    </row>
    <row r="19" spans="1:5" x14ac:dyDescent="0.3">
      <c r="A19" s="86">
        <f t="shared" si="0"/>
        <v>10</v>
      </c>
      <c r="B19" s="92"/>
      <c r="C19" s="92"/>
      <c r="D19" s="92"/>
      <c r="E19" s="92"/>
    </row>
    <row r="20" spans="1:5" x14ac:dyDescent="0.3">
      <c r="A20" s="86">
        <f t="shared" si="0"/>
        <v>11</v>
      </c>
      <c r="B20" s="92"/>
      <c r="C20" s="92"/>
      <c r="D20" s="92"/>
      <c r="E20" s="92"/>
    </row>
    <row r="21" spans="1:5" x14ac:dyDescent="0.3">
      <c r="A21" s="86">
        <f t="shared" si="0"/>
        <v>12</v>
      </c>
      <c r="B21" s="92"/>
      <c r="C21" s="92"/>
      <c r="D21" s="92"/>
      <c r="E21" s="92"/>
    </row>
    <row r="22" spans="1:5" x14ac:dyDescent="0.3">
      <c r="A22" s="86">
        <f t="shared" si="0"/>
        <v>13</v>
      </c>
      <c r="B22" s="92"/>
      <c r="C22" s="92"/>
      <c r="D22" s="92"/>
      <c r="E22" s="92"/>
    </row>
    <row r="23" spans="1:5" x14ac:dyDescent="0.3">
      <c r="A23" s="86">
        <f t="shared" si="0"/>
        <v>14</v>
      </c>
      <c r="B23" s="92"/>
      <c r="C23" s="92"/>
      <c r="D23" s="92"/>
      <c r="E23" s="92"/>
    </row>
    <row r="24" spans="1:5" x14ac:dyDescent="0.3">
      <c r="A24" s="86">
        <f t="shared" si="0"/>
        <v>15</v>
      </c>
      <c r="B24" s="92"/>
      <c r="C24" s="92"/>
      <c r="D24" s="92"/>
      <c r="E24" s="92"/>
    </row>
    <row r="25" spans="1:5" x14ac:dyDescent="0.3">
      <c r="A25" s="86">
        <f t="shared" si="0"/>
        <v>16</v>
      </c>
      <c r="B25" s="92"/>
      <c r="C25" s="92"/>
      <c r="D25" s="92"/>
      <c r="E25" s="92"/>
    </row>
    <row r="26" spans="1:5" x14ac:dyDescent="0.3">
      <c r="A26" s="86">
        <f t="shared" si="0"/>
        <v>17</v>
      </c>
      <c r="B26" s="92"/>
      <c r="C26" s="92"/>
      <c r="D26" s="92"/>
      <c r="E26" s="92"/>
    </row>
    <row r="27" spans="1:5" x14ac:dyDescent="0.3">
      <c r="A27" s="86">
        <f t="shared" si="0"/>
        <v>18</v>
      </c>
      <c r="B27" s="92"/>
      <c r="C27" s="92"/>
      <c r="D27" s="92"/>
      <c r="E27" s="92"/>
    </row>
    <row r="28" spans="1:5" x14ac:dyDescent="0.3">
      <c r="A28" s="86">
        <f t="shared" si="0"/>
        <v>19</v>
      </c>
      <c r="B28" s="92"/>
      <c r="C28" s="92"/>
      <c r="D28" s="92"/>
      <c r="E28" s="92"/>
    </row>
    <row r="29" spans="1:5" x14ac:dyDescent="0.3">
      <c r="A29" s="86">
        <f t="shared" si="0"/>
        <v>20</v>
      </c>
      <c r="B29" s="92"/>
      <c r="C29" s="92"/>
      <c r="D29" s="92"/>
      <c r="E29" s="92"/>
    </row>
    <row r="30" spans="1:5" x14ac:dyDescent="0.3">
      <c r="A30" s="86">
        <f t="shared" si="0"/>
        <v>21</v>
      </c>
      <c r="B30" s="92"/>
      <c r="C30" s="92"/>
      <c r="D30" s="92"/>
      <c r="E30" s="92"/>
    </row>
    <row r="31" spans="1:5" x14ac:dyDescent="0.3">
      <c r="A31" s="86">
        <f t="shared" si="0"/>
        <v>22</v>
      </c>
      <c r="B31" s="92"/>
      <c r="C31" s="92"/>
      <c r="D31" s="92"/>
      <c r="E31" s="92"/>
    </row>
    <row r="32" spans="1:5" x14ac:dyDescent="0.3">
      <c r="A32" s="86">
        <f t="shared" si="0"/>
        <v>23</v>
      </c>
      <c r="B32" s="92"/>
      <c r="C32" s="92"/>
      <c r="D32" s="92"/>
      <c r="E32" s="92"/>
    </row>
    <row r="33" spans="1:5" x14ac:dyDescent="0.3">
      <c r="A33" s="86">
        <f t="shared" si="0"/>
        <v>24</v>
      </c>
      <c r="B33" s="92"/>
      <c r="C33" s="92"/>
      <c r="D33" s="92"/>
      <c r="E33" s="92"/>
    </row>
    <row r="34" spans="1:5" x14ac:dyDescent="0.3">
      <c r="A34" s="86">
        <f t="shared" si="0"/>
        <v>25</v>
      </c>
      <c r="B34" s="92"/>
      <c r="C34" s="92"/>
      <c r="D34" s="92"/>
      <c r="E34" s="92"/>
    </row>
    <row r="35" spans="1:5" x14ac:dyDescent="0.3">
      <c r="A35" s="86">
        <f t="shared" si="0"/>
        <v>26</v>
      </c>
      <c r="B35" s="92"/>
      <c r="C35" s="92"/>
      <c r="D35" s="92"/>
      <c r="E35" s="92"/>
    </row>
    <row r="36" spans="1:5" x14ac:dyDescent="0.3">
      <c r="A36" s="86">
        <f t="shared" si="0"/>
        <v>27</v>
      </c>
      <c r="B36" s="92"/>
      <c r="C36" s="92"/>
      <c r="D36" s="92"/>
      <c r="E36" s="92"/>
    </row>
    <row r="37" spans="1:5" x14ac:dyDescent="0.3">
      <c r="A37" s="86">
        <f t="shared" si="0"/>
        <v>28</v>
      </c>
      <c r="B37" s="92"/>
      <c r="C37" s="92"/>
      <c r="D37" s="92"/>
      <c r="E37" s="92"/>
    </row>
    <row r="38" spans="1:5" x14ac:dyDescent="0.3">
      <c r="A38" s="86">
        <f t="shared" si="0"/>
        <v>29</v>
      </c>
      <c r="B38" s="92"/>
      <c r="C38" s="92"/>
      <c r="D38" s="92"/>
      <c r="E38" s="92"/>
    </row>
    <row r="39" spans="1:5" x14ac:dyDescent="0.3">
      <c r="A39" s="86">
        <f t="shared" si="0"/>
        <v>30</v>
      </c>
      <c r="B39" s="92"/>
      <c r="C39" s="92"/>
      <c r="D39" s="92"/>
      <c r="E39" s="92"/>
    </row>
    <row r="40" spans="1:5" x14ac:dyDescent="0.3">
      <c r="A40" s="86">
        <f t="shared" si="0"/>
        <v>31</v>
      </c>
      <c r="B40" s="92"/>
      <c r="C40" s="92"/>
      <c r="D40" s="92"/>
      <c r="E40" s="92"/>
    </row>
    <row r="41" spans="1:5" x14ac:dyDescent="0.3">
      <c r="A41" s="86">
        <f t="shared" si="0"/>
        <v>32</v>
      </c>
      <c r="B41" s="92"/>
      <c r="C41" s="92"/>
      <c r="D41" s="92"/>
      <c r="E41" s="92"/>
    </row>
    <row r="42" spans="1:5" x14ac:dyDescent="0.3">
      <c r="A42" s="86">
        <f t="shared" si="0"/>
        <v>33</v>
      </c>
      <c r="B42" s="92"/>
      <c r="C42" s="92"/>
      <c r="D42" s="92"/>
      <c r="E42" s="92"/>
    </row>
    <row r="43" spans="1:5" x14ac:dyDescent="0.3">
      <c r="A43" s="86">
        <f t="shared" si="0"/>
        <v>34</v>
      </c>
      <c r="B43" s="92"/>
      <c r="C43" s="92"/>
      <c r="D43" s="92"/>
      <c r="E43" s="92"/>
    </row>
    <row r="44" spans="1:5" x14ac:dyDescent="0.3">
      <c r="A44" s="86">
        <f t="shared" si="0"/>
        <v>35</v>
      </c>
      <c r="B44" s="92"/>
      <c r="C44" s="92"/>
      <c r="D44" s="92"/>
      <c r="E44" s="92"/>
    </row>
    <row r="45" spans="1:5" x14ac:dyDescent="0.3">
      <c r="A45" s="86">
        <f t="shared" si="0"/>
        <v>36</v>
      </c>
      <c r="B45" s="92"/>
      <c r="C45" s="92"/>
      <c r="D45" s="92"/>
      <c r="E45" s="92"/>
    </row>
    <row r="46" spans="1:5" x14ac:dyDescent="0.3">
      <c r="A46" s="86">
        <f t="shared" si="0"/>
        <v>37</v>
      </c>
      <c r="B46" s="92"/>
      <c r="C46" s="92"/>
      <c r="D46" s="92"/>
      <c r="E46" s="92"/>
    </row>
    <row r="47" spans="1:5" x14ac:dyDescent="0.3">
      <c r="A47" s="86">
        <f t="shared" si="0"/>
        <v>38</v>
      </c>
      <c r="B47" s="92"/>
      <c r="C47" s="92"/>
      <c r="D47" s="92"/>
      <c r="E47" s="92"/>
    </row>
    <row r="48" spans="1:5" x14ac:dyDescent="0.3">
      <c r="A48" s="86">
        <f t="shared" si="0"/>
        <v>39</v>
      </c>
      <c r="B48" s="92"/>
      <c r="C48" s="92"/>
      <c r="D48" s="92"/>
      <c r="E48" s="92"/>
    </row>
    <row r="49" spans="1:5" x14ac:dyDescent="0.3">
      <c r="A49" s="86">
        <f t="shared" si="0"/>
        <v>40</v>
      </c>
      <c r="B49" s="92"/>
      <c r="C49" s="92"/>
      <c r="D49" s="92"/>
      <c r="E49" s="92"/>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9"/>
  <sheetViews>
    <sheetView workbookViewId="0">
      <selection activeCell="C10" sqref="C10"/>
    </sheetView>
  </sheetViews>
  <sheetFormatPr defaultRowHeight="14.4" x14ac:dyDescent="0.3"/>
  <cols>
    <col min="1" max="1" width="22.44140625" style="84" bestFit="1" customWidth="1"/>
    <col min="2" max="2" width="13" style="84" bestFit="1" customWidth="1"/>
    <col min="3" max="3" width="13.44140625" style="84" customWidth="1"/>
    <col min="4" max="4" width="10.6640625" style="84" bestFit="1" customWidth="1"/>
    <col min="5" max="5" width="14.5546875" style="84" bestFit="1" customWidth="1"/>
    <col min="6" max="6" width="16.6640625" style="84" bestFit="1" customWidth="1"/>
    <col min="7" max="7" width="18.44140625" style="84" bestFit="1" customWidth="1"/>
    <col min="257" max="257" width="12.88671875" bestFit="1" customWidth="1"/>
    <col min="258" max="258" width="13.5546875" bestFit="1" customWidth="1"/>
    <col min="259" max="259" width="12.33203125" bestFit="1" customWidth="1"/>
    <col min="260" max="260" width="13.109375" bestFit="1" customWidth="1"/>
    <col min="261" max="261" width="13.109375" customWidth="1"/>
    <col min="513" max="513" width="12.88671875" bestFit="1" customWidth="1"/>
    <col min="514" max="514" width="13.5546875" bestFit="1" customWidth="1"/>
    <col min="515" max="515" width="12.33203125" bestFit="1" customWidth="1"/>
    <col min="516" max="516" width="13.109375" bestFit="1" customWidth="1"/>
    <col min="517" max="517" width="13.109375" customWidth="1"/>
    <col min="769" max="769" width="12.88671875" bestFit="1" customWidth="1"/>
    <col min="770" max="770" width="13.5546875" bestFit="1" customWidth="1"/>
    <col min="771" max="771" width="12.33203125" bestFit="1" customWidth="1"/>
    <col min="772" max="772" width="13.109375" bestFit="1" customWidth="1"/>
    <col min="773" max="773" width="13.109375" customWidth="1"/>
    <col min="1025" max="1025" width="12.88671875" bestFit="1" customWidth="1"/>
    <col min="1026" max="1026" width="13.5546875" bestFit="1" customWidth="1"/>
    <col min="1027" max="1027" width="12.33203125" bestFit="1" customWidth="1"/>
    <col min="1028" max="1028" width="13.109375" bestFit="1" customWidth="1"/>
    <col min="1029" max="1029" width="13.109375" customWidth="1"/>
    <col min="1281" max="1281" width="12.88671875" bestFit="1" customWidth="1"/>
    <col min="1282" max="1282" width="13.5546875" bestFit="1" customWidth="1"/>
    <col min="1283" max="1283" width="12.33203125" bestFit="1" customWidth="1"/>
    <col min="1284" max="1284" width="13.109375" bestFit="1" customWidth="1"/>
    <col min="1285" max="1285" width="13.109375" customWidth="1"/>
    <col min="1537" max="1537" width="12.88671875" bestFit="1" customWidth="1"/>
    <col min="1538" max="1538" width="13.5546875" bestFit="1" customWidth="1"/>
    <col min="1539" max="1539" width="12.33203125" bestFit="1" customWidth="1"/>
    <col min="1540" max="1540" width="13.109375" bestFit="1" customWidth="1"/>
    <col min="1541" max="1541" width="13.109375" customWidth="1"/>
    <col min="1793" max="1793" width="12.88671875" bestFit="1" customWidth="1"/>
    <col min="1794" max="1794" width="13.5546875" bestFit="1" customWidth="1"/>
    <col min="1795" max="1795" width="12.33203125" bestFit="1" customWidth="1"/>
    <col min="1796" max="1796" width="13.109375" bestFit="1" customWidth="1"/>
    <col min="1797" max="1797" width="13.109375" customWidth="1"/>
    <col min="2049" max="2049" width="12.88671875" bestFit="1" customWidth="1"/>
    <col min="2050" max="2050" width="13.5546875" bestFit="1" customWidth="1"/>
    <col min="2051" max="2051" width="12.33203125" bestFit="1" customWidth="1"/>
    <col min="2052" max="2052" width="13.109375" bestFit="1" customWidth="1"/>
    <col min="2053" max="2053" width="13.109375" customWidth="1"/>
    <col min="2305" max="2305" width="12.88671875" bestFit="1" customWidth="1"/>
    <col min="2306" max="2306" width="13.5546875" bestFit="1" customWidth="1"/>
    <col min="2307" max="2307" width="12.33203125" bestFit="1" customWidth="1"/>
    <col min="2308" max="2308" width="13.109375" bestFit="1" customWidth="1"/>
    <col min="2309" max="2309" width="13.109375" customWidth="1"/>
    <col min="2561" max="2561" width="12.88671875" bestFit="1" customWidth="1"/>
    <col min="2562" max="2562" width="13.5546875" bestFit="1" customWidth="1"/>
    <col min="2563" max="2563" width="12.33203125" bestFit="1" customWidth="1"/>
    <col min="2564" max="2564" width="13.109375" bestFit="1" customWidth="1"/>
    <col min="2565" max="2565" width="13.109375" customWidth="1"/>
    <col min="2817" max="2817" width="12.88671875" bestFit="1" customWidth="1"/>
    <col min="2818" max="2818" width="13.5546875" bestFit="1" customWidth="1"/>
    <col min="2819" max="2819" width="12.33203125" bestFit="1" customWidth="1"/>
    <col min="2820" max="2820" width="13.109375" bestFit="1" customWidth="1"/>
    <col min="2821" max="2821" width="13.109375" customWidth="1"/>
    <col min="3073" max="3073" width="12.88671875" bestFit="1" customWidth="1"/>
    <col min="3074" max="3074" width="13.5546875" bestFit="1" customWidth="1"/>
    <col min="3075" max="3075" width="12.33203125" bestFit="1" customWidth="1"/>
    <col min="3076" max="3076" width="13.109375" bestFit="1" customWidth="1"/>
    <col min="3077" max="3077" width="13.109375" customWidth="1"/>
    <col min="3329" max="3329" width="12.88671875" bestFit="1" customWidth="1"/>
    <col min="3330" max="3330" width="13.5546875" bestFit="1" customWidth="1"/>
    <col min="3331" max="3331" width="12.33203125" bestFit="1" customWidth="1"/>
    <col min="3332" max="3332" width="13.109375" bestFit="1" customWidth="1"/>
    <col min="3333" max="3333" width="13.109375" customWidth="1"/>
    <col min="3585" max="3585" width="12.88671875" bestFit="1" customWidth="1"/>
    <col min="3586" max="3586" width="13.5546875" bestFit="1" customWidth="1"/>
    <col min="3587" max="3587" width="12.33203125" bestFit="1" customWidth="1"/>
    <col min="3588" max="3588" width="13.109375" bestFit="1" customWidth="1"/>
    <col min="3589" max="3589" width="13.109375" customWidth="1"/>
    <col min="3841" max="3841" width="12.88671875" bestFit="1" customWidth="1"/>
    <col min="3842" max="3842" width="13.5546875" bestFit="1" customWidth="1"/>
    <col min="3843" max="3843" width="12.33203125" bestFit="1" customWidth="1"/>
    <col min="3844" max="3844" width="13.109375" bestFit="1" customWidth="1"/>
    <col min="3845" max="3845" width="13.109375" customWidth="1"/>
    <col min="4097" max="4097" width="12.88671875" bestFit="1" customWidth="1"/>
    <col min="4098" max="4098" width="13.5546875" bestFit="1" customWidth="1"/>
    <col min="4099" max="4099" width="12.33203125" bestFit="1" customWidth="1"/>
    <col min="4100" max="4100" width="13.109375" bestFit="1" customWidth="1"/>
    <col min="4101" max="4101" width="13.109375" customWidth="1"/>
    <col min="4353" max="4353" width="12.88671875" bestFit="1" customWidth="1"/>
    <col min="4354" max="4354" width="13.5546875" bestFit="1" customWidth="1"/>
    <col min="4355" max="4355" width="12.33203125" bestFit="1" customWidth="1"/>
    <col min="4356" max="4356" width="13.109375" bestFit="1" customWidth="1"/>
    <col min="4357" max="4357" width="13.109375" customWidth="1"/>
    <col min="4609" max="4609" width="12.88671875" bestFit="1" customWidth="1"/>
    <col min="4610" max="4610" width="13.5546875" bestFit="1" customWidth="1"/>
    <col min="4611" max="4611" width="12.33203125" bestFit="1" customWidth="1"/>
    <col min="4612" max="4612" width="13.109375" bestFit="1" customWidth="1"/>
    <col min="4613" max="4613" width="13.109375" customWidth="1"/>
    <col min="4865" max="4865" width="12.88671875" bestFit="1" customWidth="1"/>
    <col min="4866" max="4866" width="13.5546875" bestFit="1" customWidth="1"/>
    <col min="4867" max="4867" width="12.33203125" bestFit="1" customWidth="1"/>
    <col min="4868" max="4868" width="13.109375" bestFit="1" customWidth="1"/>
    <col min="4869" max="4869" width="13.109375" customWidth="1"/>
    <col min="5121" max="5121" width="12.88671875" bestFit="1" customWidth="1"/>
    <col min="5122" max="5122" width="13.5546875" bestFit="1" customWidth="1"/>
    <col min="5123" max="5123" width="12.33203125" bestFit="1" customWidth="1"/>
    <col min="5124" max="5124" width="13.109375" bestFit="1" customWidth="1"/>
    <col min="5125" max="5125" width="13.109375" customWidth="1"/>
    <col min="5377" max="5377" width="12.88671875" bestFit="1" customWidth="1"/>
    <col min="5378" max="5378" width="13.5546875" bestFit="1" customWidth="1"/>
    <col min="5379" max="5379" width="12.33203125" bestFit="1" customWidth="1"/>
    <col min="5380" max="5380" width="13.109375" bestFit="1" customWidth="1"/>
    <col min="5381" max="5381" width="13.109375" customWidth="1"/>
    <col min="5633" max="5633" width="12.88671875" bestFit="1" customWidth="1"/>
    <col min="5634" max="5634" width="13.5546875" bestFit="1" customWidth="1"/>
    <col min="5635" max="5635" width="12.33203125" bestFit="1" customWidth="1"/>
    <col min="5636" max="5636" width="13.109375" bestFit="1" customWidth="1"/>
    <col min="5637" max="5637" width="13.109375" customWidth="1"/>
    <col min="5889" max="5889" width="12.88671875" bestFit="1" customWidth="1"/>
    <col min="5890" max="5890" width="13.5546875" bestFit="1" customWidth="1"/>
    <col min="5891" max="5891" width="12.33203125" bestFit="1" customWidth="1"/>
    <col min="5892" max="5892" width="13.109375" bestFit="1" customWidth="1"/>
    <col min="5893" max="5893" width="13.109375" customWidth="1"/>
    <col min="6145" max="6145" width="12.88671875" bestFit="1" customWidth="1"/>
    <col min="6146" max="6146" width="13.5546875" bestFit="1" customWidth="1"/>
    <col min="6147" max="6147" width="12.33203125" bestFit="1" customWidth="1"/>
    <col min="6148" max="6148" width="13.109375" bestFit="1" customWidth="1"/>
    <col min="6149" max="6149" width="13.109375" customWidth="1"/>
    <col min="6401" max="6401" width="12.88671875" bestFit="1" customWidth="1"/>
    <col min="6402" max="6402" width="13.5546875" bestFit="1" customWidth="1"/>
    <col min="6403" max="6403" width="12.33203125" bestFit="1" customWidth="1"/>
    <col min="6404" max="6404" width="13.109375" bestFit="1" customWidth="1"/>
    <col min="6405" max="6405" width="13.109375" customWidth="1"/>
    <col min="6657" max="6657" width="12.88671875" bestFit="1" customWidth="1"/>
    <col min="6658" max="6658" width="13.5546875" bestFit="1" customWidth="1"/>
    <col min="6659" max="6659" width="12.33203125" bestFit="1" customWidth="1"/>
    <col min="6660" max="6660" width="13.109375" bestFit="1" customWidth="1"/>
    <col min="6661" max="6661" width="13.109375" customWidth="1"/>
    <col min="6913" max="6913" width="12.88671875" bestFit="1" customWidth="1"/>
    <col min="6914" max="6914" width="13.5546875" bestFit="1" customWidth="1"/>
    <col min="6915" max="6915" width="12.33203125" bestFit="1" customWidth="1"/>
    <col min="6916" max="6916" width="13.109375" bestFit="1" customWidth="1"/>
    <col min="6917" max="6917" width="13.109375" customWidth="1"/>
    <col min="7169" max="7169" width="12.88671875" bestFit="1" customWidth="1"/>
    <col min="7170" max="7170" width="13.5546875" bestFit="1" customWidth="1"/>
    <col min="7171" max="7171" width="12.33203125" bestFit="1" customWidth="1"/>
    <col min="7172" max="7172" width="13.109375" bestFit="1" customWidth="1"/>
    <col min="7173" max="7173" width="13.109375" customWidth="1"/>
    <col min="7425" max="7425" width="12.88671875" bestFit="1" customWidth="1"/>
    <col min="7426" max="7426" width="13.5546875" bestFit="1" customWidth="1"/>
    <col min="7427" max="7427" width="12.33203125" bestFit="1" customWidth="1"/>
    <col min="7428" max="7428" width="13.109375" bestFit="1" customWidth="1"/>
    <col min="7429" max="7429" width="13.109375" customWidth="1"/>
    <col min="7681" max="7681" width="12.88671875" bestFit="1" customWidth="1"/>
    <col min="7682" max="7682" width="13.5546875" bestFit="1" customWidth="1"/>
    <col min="7683" max="7683" width="12.33203125" bestFit="1" customWidth="1"/>
    <col min="7684" max="7684" width="13.109375" bestFit="1" customWidth="1"/>
    <col min="7685" max="7685" width="13.109375" customWidth="1"/>
    <col min="7937" max="7937" width="12.88671875" bestFit="1" customWidth="1"/>
    <col min="7938" max="7938" width="13.5546875" bestFit="1" customWidth="1"/>
    <col min="7939" max="7939" width="12.33203125" bestFit="1" customWidth="1"/>
    <col min="7940" max="7940" width="13.109375" bestFit="1" customWidth="1"/>
    <col min="7941" max="7941" width="13.109375" customWidth="1"/>
    <col min="8193" max="8193" width="12.88671875" bestFit="1" customWidth="1"/>
    <col min="8194" max="8194" width="13.5546875" bestFit="1" customWidth="1"/>
    <col min="8195" max="8195" width="12.33203125" bestFit="1" customWidth="1"/>
    <col min="8196" max="8196" width="13.109375" bestFit="1" customWidth="1"/>
    <col min="8197" max="8197" width="13.109375" customWidth="1"/>
    <col min="8449" max="8449" width="12.88671875" bestFit="1" customWidth="1"/>
    <col min="8450" max="8450" width="13.5546875" bestFit="1" customWidth="1"/>
    <col min="8451" max="8451" width="12.33203125" bestFit="1" customWidth="1"/>
    <col min="8452" max="8452" width="13.109375" bestFit="1" customWidth="1"/>
    <col min="8453" max="8453" width="13.109375" customWidth="1"/>
    <col min="8705" max="8705" width="12.88671875" bestFit="1" customWidth="1"/>
    <col min="8706" max="8706" width="13.5546875" bestFit="1" customWidth="1"/>
    <col min="8707" max="8707" width="12.33203125" bestFit="1" customWidth="1"/>
    <col min="8708" max="8708" width="13.109375" bestFit="1" customWidth="1"/>
    <col min="8709" max="8709" width="13.109375" customWidth="1"/>
    <col min="8961" max="8961" width="12.88671875" bestFit="1" customWidth="1"/>
    <col min="8962" max="8962" width="13.5546875" bestFit="1" customWidth="1"/>
    <col min="8963" max="8963" width="12.33203125" bestFit="1" customWidth="1"/>
    <col min="8964" max="8964" width="13.109375" bestFit="1" customWidth="1"/>
    <col min="8965" max="8965" width="13.109375" customWidth="1"/>
    <col min="9217" max="9217" width="12.88671875" bestFit="1" customWidth="1"/>
    <col min="9218" max="9218" width="13.5546875" bestFit="1" customWidth="1"/>
    <col min="9219" max="9219" width="12.33203125" bestFit="1" customWidth="1"/>
    <col min="9220" max="9220" width="13.109375" bestFit="1" customWidth="1"/>
    <col min="9221" max="9221" width="13.109375" customWidth="1"/>
    <col min="9473" max="9473" width="12.88671875" bestFit="1" customWidth="1"/>
    <col min="9474" max="9474" width="13.5546875" bestFit="1" customWidth="1"/>
    <col min="9475" max="9475" width="12.33203125" bestFit="1" customWidth="1"/>
    <col min="9476" max="9476" width="13.109375" bestFit="1" customWidth="1"/>
    <col min="9477" max="9477" width="13.109375" customWidth="1"/>
    <col min="9729" max="9729" width="12.88671875" bestFit="1" customWidth="1"/>
    <col min="9730" max="9730" width="13.5546875" bestFit="1" customWidth="1"/>
    <col min="9731" max="9731" width="12.33203125" bestFit="1" customWidth="1"/>
    <col min="9732" max="9732" width="13.109375" bestFit="1" customWidth="1"/>
    <col min="9733" max="9733" width="13.109375" customWidth="1"/>
    <col min="9985" max="9985" width="12.88671875" bestFit="1" customWidth="1"/>
    <col min="9986" max="9986" width="13.5546875" bestFit="1" customWidth="1"/>
    <col min="9987" max="9987" width="12.33203125" bestFit="1" customWidth="1"/>
    <col min="9988" max="9988" width="13.109375" bestFit="1" customWidth="1"/>
    <col min="9989" max="9989" width="13.109375" customWidth="1"/>
    <col min="10241" max="10241" width="12.88671875" bestFit="1" customWidth="1"/>
    <col min="10242" max="10242" width="13.5546875" bestFit="1" customWidth="1"/>
    <col min="10243" max="10243" width="12.33203125" bestFit="1" customWidth="1"/>
    <col min="10244" max="10244" width="13.109375" bestFit="1" customWidth="1"/>
    <col min="10245" max="10245" width="13.109375" customWidth="1"/>
    <col min="10497" max="10497" width="12.88671875" bestFit="1" customWidth="1"/>
    <col min="10498" max="10498" width="13.5546875" bestFit="1" customWidth="1"/>
    <col min="10499" max="10499" width="12.33203125" bestFit="1" customWidth="1"/>
    <col min="10500" max="10500" width="13.109375" bestFit="1" customWidth="1"/>
    <col min="10501" max="10501" width="13.109375" customWidth="1"/>
    <col min="10753" max="10753" width="12.88671875" bestFit="1" customWidth="1"/>
    <col min="10754" max="10754" width="13.5546875" bestFit="1" customWidth="1"/>
    <col min="10755" max="10755" width="12.33203125" bestFit="1" customWidth="1"/>
    <col min="10756" max="10756" width="13.109375" bestFit="1" customWidth="1"/>
    <col min="10757" max="10757" width="13.109375" customWidth="1"/>
    <col min="11009" max="11009" width="12.88671875" bestFit="1" customWidth="1"/>
    <col min="11010" max="11010" width="13.5546875" bestFit="1" customWidth="1"/>
    <col min="11011" max="11011" width="12.33203125" bestFit="1" customWidth="1"/>
    <col min="11012" max="11012" width="13.109375" bestFit="1" customWidth="1"/>
    <col min="11013" max="11013" width="13.109375" customWidth="1"/>
    <col min="11265" max="11265" width="12.88671875" bestFit="1" customWidth="1"/>
    <col min="11266" max="11266" width="13.5546875" bestFit="1" customWidth="1"/>
    <col min="11267" max="11267" width="12.33203125" bestFit="1" customWidth="1"/>
    <col min="11268" max="11268" width="13.109375" bestFit="1" customWidth="1"/>
    <col min="11269" max="11269" width="13.109375" customWidth="1"/>
    <col min="11521" max="11521" width="12.88671875" bestFit="1" customWidth="1"/>
    <col min="11522" max="11522" width="13.5546875" bestFit="1" customWidth="1"/>
    <col min="11523" max="11523" width="12.33203125" bestFit="1" customWidth="1"/>
    <col min="11524" max="11524" width="13.109375" bestFit="1" customWidth="1"/>
    <col min="11525" max="11525" width="13.109375" customWidth="1"/>
    <col min="11777" max="11777" width="12.88671875" bestFit="1" customWidth="1"/>
    <col min="11778" max="11778" width="13.5546875" bestFit="1" customWidth="1"/>
    <col min="11779" max="11779" width="12.33203125" bestFit="1" customWidth="1"/>
    <col min="11780" max="11780" width="13.109375" bestFit="1" customWidth="1"/>
    <col min="11781" max="11781" width="13.109375" customWidth="1"/>
    <col min="12033" max="12033" width="12.88671875" bestFit="1" customWidth="1"/>
    <col min="12034" max="12034" width="13.5546875" bestFit="1" customWidth="1"/>
    <col min="12035" max="12035" width="12.33203125" bestFit="1" customWidth="1"/>
    <col min="12036" max="12036" width="13.109375" bestFit="1" customWidth="1"/>
    <col min="12037" max="12037" width="13.109375" customWidth="1"/>
    <col min="12289" max="12289" width="12.88671875" bestFit="1" customWidth="1"/>
    <col min="12290" max="12290" width="13.5546875" bestFit="1" customWidth="1"/>
    <col min="12291" max="12291" width="12.33203125" bestFit="1" customWidth="1"/>
    <col min="12292" max="12292" width="13.109375" bestFit="1" customWidth="1"/>
    <col min="12293" max="12293" width="13.109375" customWidth="1"/>
    <col min="12545" max="12545" width="12.88671875" bestFit="1" customWidth="1"/>
    <col min="12546" max="12546" width="13.5546875" bestFit="1" customWidth="1"/>
    <col min="12547" max="12547" width="12.33203125" bestFit="1" customWidth="1"/>
    <col min="12548" max="12548" width="13.109375" bestFit="1" customWidth="1"/>
    <col min="12549" max="12549" width="13.109375" customWidth="1"/>
    <col min="12801" max="12801" width="12.88671875" bestFit="1" customWidth="1"/>
    <col min="12802" max="12802" width="13.5546875" bestFit="1" customWidth="1"/>
    <col min="12803" max="12803" width="12.33203125" bestFit="1" customWidth="1"/>
    <col min="12804" max="12804" width="13.109375" bestFit="1" customWidth="1"/>
    <col min="12805" max="12805" width="13.109375" customWidth="1"/>
    <col min="13057" max="13057" width="12.88671875" bestFit="1" customWidth="1"/>
    <col min="13058" max="13058" width="13.5546875" bestFit="1" customWidth="1"/>
    <col min="13059" max="13059" width="12.33203125" bestFit="1" customWidth="1"/>
    <col min="13060" max="13060" width="13.109375" bestFit="1" customWidth="1"/>
    <col min="13061" max="13061" width="13.109375" customWidth="1"/>
    <col min="13313" max="13313" width="12.88671875" bestFit="1" customWidth="1"/>
    <col min="13314" max="13314" width="13.5546875" bestFit="1" customWidth="1"/>
    <col min="13315" max="13315" width="12.33203125" bestFit="1" customWidth="1"/>
    <col min="13316" max="13316" width="13.109375" bestFit="1" customWidth="1"/>
    <col min="13317" max="13317" width="13.109375" customWidth="1"/>
    <col min="13569" max="13569" width="12.88671875" bestFit="1" customWidth="1"/>
    <col min="13570" max="13570" width="13.5546875" bestFit="1" customWidth="1"/>
    <col min="13571" max="13571" width="12.33203125" bestFit="1" customWidth="1"/>
    <col min="13572" max="13572" width="13.109375" bestFit="1" customWidth="1"/>
    <col min="13573" max="13573" width="13.109375" customWidth="1"/>
    <col min="13825" max="13825" width="12.88671875" bestFit="1" customWidth="1"/>
    <col min="13826" max="13826" width="13.5546875" bestFit="1" customWidth="1"/>
    <col min="13827" max="13827" width="12.33203125" bestFit="1" customWidth="1"/>
    <col min="13828" max="13828" width="13.109375" bestFit="1" customWidth="1"/>
    <col min="13829" max="13829" width="13.109375" customWidth="1"/>
    <col min="14081" max="14081" width="12.88671875" bestFit="1" customWidth="1"/>
    <col min="14082" max="14082" width="13.5546875" bestFit="1" customWidth="1"/>
    <col min="14083" max="14083" width="12.33203125" bestFit="1" customWidth="1"/>
    <col min="14084" max="14084" width="13.109375" bestFit="1" customWidth="1"/>
    <col min="14085" max="14085" width="13.109375" customWidth="1"/>
    <col min="14337" max="14337" width="12.88671875" bestFit="1" customWidth="1"/>
    <col min="14338" max="14338" width="13.5546875" bestFit="1" customWidth="1"/>
    <col min="14339" max="14339" width="12.33203125" bestFit="1" customWidth="1"/>
    <col min="14340" max="14340" width="13.109375" bestFit="1" customWidth="1"/>
    <col min="14341" max="14341" width="13.109375" customWidth="1"/>
    <col min="14593" max="14593" width="12.88671875" bestFit="1" customWidth="1"/>
    <col min="14594" max="14594" width="13.5546875" bestFit="1" customWidth="1"/>
    <col min="14595" max="14595" width="12.33203125" bestFit="1" customWidth="1"/>
    <col min="14596" max="14596" width="13.109375" bestFit="1" customWidth="1"/>
    <col min="14597" max="14597" width="13.109375" customWidth="1"/>
    <col min="14849" max="14849" width="12.88671875" bestFit="1" customWidth="1"/>
    <col min="14850" max="14850" width="13.5546875" bestFit="1" customWidth="1"/>
    <col min="14851" max="14851" width="12.33203125" bestFit="1" customWidth="1"/>
    <col min="14852" max="14852" width="13.109375" bestFit="1" customWidth="1"/>
    <col min="14853" max="14853" width="13.109375" customWidth="1"/>
    <col min="15105" max="15105" width="12.88671875" bestFit="1" customWidth="1"/>
    <col min="15106" max="15106" width="13.5546875" bestFit="1" customWidth="1"/>
    <col min="15107" max="15107" width="12.33203125" bestFit="1" customWidth="1"/>
    <col min="15108" max="15108" width="13.109375" bestFit="1" customWidth="1"/>
    <col min="15109" max="15109" width="13.109375" customWidth="1"/>
    <col min="15361" max="15361" width="12.88671875" bestFit="1" customWidth="1"/>
    <col min="15362" max="15362" width="13.5546875" bestFit="1" customWidth="1"/>
    <col min="15363" max="15363" width="12.33203125" bestFit="1" customWidth="1"/>
    <col min="15364" max="15364" width="13.109375" bestFit="1" customWidth="1"/>
    <col min="15365" max="15365" width="13.109375" customWidth="1"/>
    <col min="15617" max="15617" width="12.88671875" bestFit="1" customWidth="1"/>
    <col min="15618" max="15618" width="13.5546875" bestFit="1" customWidth="1"/>
    <col min="15619" max="15619" width="12.33203125" bestFit="1" customWidth="1"/>
    <col min="15620" max="15620" width="13.109375" bestFit="1" customWidth="1"/>
    <col min="15621" max="15621" width="13.109375" customWidth="1"/>
    <col min="15873" max="15873" width="12.88671875" bestFit="1" customWidth="1"/>
    <col min="15874" max="15874" width="13.5546875" bestFit="1" customWidth="1"/>
    <col min="15875" max="15875" width="12.33203125" bestFit="1" customWidth="1"/>
    <col min="15876" max="15876" width="13.109375" bestFit="1" customWidth="1"/>
    <col min="15877" max="15877" width="13.109375" customWidth="1"/>
    <col min="16129" max="16129" width="12.88671875" bestFit="1" customWidth="1"/>
    <col min="16130" max="16130" width="13.5546875" bestFit="1" customWidth="1"/>
    <col min="16131" max="16131" width="12.33203125" bestFit="1" customWidth="1"/>
    <col min="16132" max="16132" width="13.109375" bestFit="1" customWidth="1"/>
    <col min="16133" max="16133" width="13.109375" customWidth="1"/>
  </cols>
  <sheetData>
    <row r="1" spans="1:5" x14ac:dyDescent="0.3">
      <c r="A1" s="193" t="s">
        <v>135</v>
      </c>
      <c r="B1" s="185">
        <v>1000000</v>
      </c>
    </row>
    <row r="2" spans="1:5" x14ac:dyDescent="0.3">
      <c r="A2" s="193" t="s">
        <v>136</v>
      </c>
      <c r="B2" s="186">
        <v>7.0000000000000007E-2</v>
      </c>
    </row>
    <row r="3" spans="1:5" x14ac:dyDescent="0.3">
      <c r="A3" s="193" t="s">
        <v>137</v>
      </c>
      <c r="B3" s="188">
        <f>B2/B5</f>
        <v>3.5000000000000003E-2</v>
      </c>
    </row>
    <row r="4" spans="1:5" x14ac:dyDescent="0.3">
      <c r="A4" s="193" t="s">
        <v>10</v>
      </c>
      <c r="B4" s="187">
        <v>20</v>
      </c>
    </row>
    <row r="5" spans="1:5" x14ac:dyDescent="0.3">
      <c r="A5" s="193" t="s">
        <v>138</v>
      </c>
      <c r="B5" s="187">
        <v>2</v>
      </c>
    </row>
    <row r="6" spans="1:5" x14ac:dyDescent="0.3">
      <c r="A6" s="193" t="s">
        <v>12</v>
      </c>
      <c r="B6" s="188">
        <f>B4*B5</f>
        <v>40</v>
      </c>
    </row>
    <row r="8" spans="1:5" ht="40.200000000000003" x14ac:dyDescent="0.3">
      <c r="A8" s="196" t="s">
        <v>48</v>
      </c>
      <c r="B8" s="194" t="s">
        <v>139</v>
      </c>
      <c r="C8" s="196" t="s">
        <v>140</v>
      </c>
      <c r="D8" s="196" t="s">
        <v>141</v>
      </c>
      <c r="E8" s="196" t="s">
        <v>142</v>
      </c>
    </row>
    <row r="9" spans="1:5" x14ac:dyDescent="0.3">
      <c r="A9" s="90">
        <v>0</v>
      </c>
      <c r="B9" s="91"/>
      <c r="C9" s="91"/>
      <c r="D9" s="91"/>
      <c r="E9" s="91">
        <f>B1</f>
        <v>1000000</v>
      </c>
    </row>
    <row r="10" spans="1:5" x14ac:dyDescent="0.3">
      <c r="A10" s="86">
        <f t="shared" ref="A10:A49" si="0">A9+1</f>
        <v>1</v>
      </c>
      <c r="B10" s="92">
        <f>SUM(C10:D10)</f>
        <v>60000</v>
      </c>
      <c r="C10" s="92">
        <f t="shared" ref="C10:C49" si="1">E9*B$3</f>
        <v>35000</v>
      </c>
      <c r="D10" s="92">
        <f t="shared" ref="D10:D49" si="2">B$1/B$6</f>
        <v>25000</v>
      </c>
      <c r="E10" s="92">
        <f>E9-D10</f>
        <v>975000</v>
      </c>
    </row>
    <row r="11" spans="1:5" x14ac:dyDescent="0.3">
      <c r="A11" s="86">
        <f t="shared" si="0"/>
        <v>2</v>
      </c>
      <c r="B11" s="92">
        <f t="shared" ref="B11:B49" si="3">SUM(C11:D11)</f>
        <v>59125</v>
      </c>
      <c r="C11" s="92">
        <f t="shared" si="1"/>
        <v>34125</v>
      </c>
      <c r="D11" s="92">
        <f t="shared" si="2"/>
        <v>25000</v>
      </c>
      <c r="E11" s="92">
        <f t="shared" ref="E11:E49" si="4">E10-D11</f>
        <v>950000</v>
      </c>
    </row>
    <row r="12" spans="1:5" x14ac:dyDescent="0.3">
      <c r="A12" s="86">
        <f t="shared" si="0"/>
        <v>3</v>
      </c>
      <c r="B12" s="92">
        <f t="shared" si="3"/>
        <v>58250</v>
      </c>
      <c r="C12" s="92">
        <f t="shared" si="1"/>
        <v>33250</v>
      </c>
      <c r="D12" s="92">
        <f t="shared" si="2"/>
        <v>25000</v>
      </c>
      <c r="E12" s="92">
        <f t="shared" si="4"/>
        <v>925000</v>
      </c>
    </row>
    <row r="13" spans="1:5" x14ac:dyDescent="0.3">
      <c r="A13" s="86">
        <f t="shared" si="0"/>
        <v>4</v>
      </c>
      <c r="B13" s="92">
        <f t="shared" si="3"/>
        <v>57375</v>
      </c>
      <c r="C13" s="92">
        <f t="shared" si="1"/>
        <v>32375.000000000004</v>
      </c>
      <c r="D13" s="92">
        <f t="shared" si="2"/>
        <v>25000</v>
      </c>
      <c r="E13" s="92">
        <f t="shared" si="4"/>
        <v>900000</v>
      </c>
    </row>
    <row r="14" spans="1:5" x14ac:dyDescent="0.3">
      <c r="A14" s="86">
        <f t="shared" si="0"/>
        <v>5</v>
      </c>
      <c r="B14" s="92">
        <f t="shared" si="3"/>
        <v>56500</v>
      </c>
      <c r="C14" s="92">
        <f t="shared" si="1"/>
        <v>31500.000000000004</v>
      </c>
      <c r="D14" s="92">
        <f t="shared" si="2"/>
        <v>25000</v>
      </c>
      <c r="E14" s="92">
        <f t="shared" si="4"/>
        <v>875000</v>
      </c>
    </row>
    <row r="15" spans="1:5" x14ac:dyDescent="0.3">
      <c r="A15" s="86">
        <f t="shared" si="0"/>
        <v>6</v>
      </c>
      <c r="B15" s="92">
        <f t="shared" si="3"/>
        <v>55625</v>
      </c>
      <c r="C15" s="92">
        <f t="shared" si="1"/>
        <v>30625.000000000004</v>
      </c>
      <c r="D15" s="92">
        <f t="shared" si="2"/>
        <v>25000</v>
      </c>
      <c r="E15" s="92">
        <f t="shared" si="4"/>
        <v>850000</v>
      </c>
    </row>
    <row r="16" spans="1:5" x14ac:dyDescent="0.3">
      <c r="A16" s="86">
        <f t="shared" si="0"/>
        <v>7</v>
      </c>
      <c r="B16" s="92">
        <f t="shared" si="3"/>
        <v>54750</v>
      </c>
      <c r="C16" s="92">
        <f t="shared" si="1"/>
        <v>29750.000000000004</v>
      </c>
      <c r="D16" s="92">
        <f t="shared" si="2"/>
        <v>25000</v>
      </c>
      <c r="E16" s="92">
        <f t="shared" si="4"/>
        <v>825000</v>
      </c>
    </row>
    <row r="17" spans="1:5" x14ac:dyDescent="0.3">
      <c r="A17" s="86">
        <f t="shared" si="0"/>
        <v>8</v>
      </c>
      <c r="B17" s="92">
        <f t="shared" si="3"/>
        <v>53875</v>
      </c>
      <c r="C17" s="92">
        <f t="shared" si="1"/>
        <v>28875.000000000004</v>
      </c>
      <c r="D17" s="92">
        <f t="shared" si="2"/>
        <v>25000</v>
      </c>
      <c r="E17" s="92">
        <f t="shared" si="4"/>
        <v>800000</v>
      </c>
    </row>
    <row r="18" spans="1:5" x14ac:dyDescent="0.3">
      <c r="A18" s="86">
        <f t="shared" si="0"/>
        <v>9</v>
      </c>
      <c r="B18" s="92">
        <f t="shared" si="3"/>
        <v>53000</v>
      </c>
      <c r="C18" s="92">
        <f t="shared" si="1"/>
        <v>28000.000000000004</v>
      </c>
      <c r="D18" s="92">
        <f t="shared" si="2"/>
        <v>25000</v>
      </c>
      <c r="E18" s="92">
        <f t="shared" si="4"/>
        <v>775000</v>
      </c>
    </row>
    <row r="19" spans="1:5" x14ac:dyDescent="0.3">
      <c r="A19" s="86">
        <f t="shared" si="0"/>
        <v>10</v>
      </c>
      <c r="B19" s="92">
        <f t="shared" si="3"/>
        <v>52125</v>
      </c>
      <c r="C19" s="92">
        <f t="shared" si="1"/>
        <v>27125.000000000004</v>
      </c>
      <c r="D19" s="92">
        <f t="shared" si="2"/>
        <v>25000</v>
      </c>
      <c r="E19" s="92">
        <f t="shared" si="4"/>
        <v>750000</v>
      </c>
    </row>
    <row r="20" spans="1:5" x14ac:dyDescent="0.3">
      <c r="A20" s="86">
        <f t="shared" si="0"/>
        <v>11</v>
      </c>
      <c r="B20" s="92">
        <f t="shared" si="3"/>
        <v>51250</v>
      </c>
      <c r="C20" s="92">
        <f t="shared" si="1"/>
        <v>26250.000000000004</v>
      </c>
      <c r="D20" s="92">
        <f t="shared" si="2"/>
        <v>25000</v>
      </c>
      <c r="E20" s="92">
        <f t="shared" si="4"/>
        <v>725000</v>
      </c>
    </row>
    <row r="21" spans="1:5" x14ac:dyDescent="0.3">
      <c r="A21" s="86">
        <f t="shared" si="0"/>
        <v>12</v>
      </c>
      <c r="B21" s="92">
        <f t="shared" si="3"/>
        <v>50375</v>
      </c>
      <c r="C21" s="92">
        <f t="shared" si="1"/>
        <v>25375.000000000004</v>
      </c>
      <c r="D21" s="92">
        <f t="shared" si="2"/>
        <v>25000</v>
      </c>
      <c r="E21" s="92">
        <f t="shared" si="4"/>
        <v>700000</v>
      </c>
    </row>
    <row r="22" spans="1:5" x14ac:dyDescent="0.3">
      <c r="A22" s="86">
        <f t="shared" si="0"/>
        <v>13</v>
      </c>
      <c r="B22" s="92">
        <f t="shared" si="3"/>
        <v>49500</v>
      </c>
      <c r="C22" s="92">
        <f t="shared" si="1"/>
        <v>24500.000000000004</v>
      </c>
      <c r="D22" s="92">
        <f t="shared" si="2"/>
        <v>25000</v>
      </c>
      <c r="E22" s="92">
        <f t="shared" si="4"/>
        <v>675000</v>
      </c>
    </row>
    <row r="23" spans="1:5" x14ac:dyDescent="0.3">
      <c r="A23" s="86">
        <f t="shared" si="0"/>
        <v>14</v>
      </c>
      <c r="B23" s="92">
        <f t="shared" si="3"/>
        <v>48625</v>
      </c>
      <c r="C23" s="92">
        <f t="shared" si="1"/>
        <v>23625.000000000004</v>
      </c>
      <c r="D23" s="92">
        <f t="shared" si="2"/>
        <v>25000</v>
      </c>
      <c r="E23" s="92">
        <f t="shared" si="4"/>
        <v>650000</v>
      </c>
    </row>
    <row r="24" spans="1:5" x14ac:dyDescent="0.3">
      <c r="A24" s="86">
        <f t="shared" si="0"/>
        <v>15</v>
      </c>
      <c r="B24" s="92">
        <f t="shared" si="3"/>
        <v>47750</v>
      </c>
      <c r="C24" s="92">
        <f t="shared" si="1"/>
        <v>22750.000000000004</v>
      </c>
      <c r="D24" s="92">
        <f t="shared" si="2"/>
        <v>25000</v>
      </c>
      <c r="E24" s="92">
        <f t="shared" si="4"/>
        <v>625000</v>
      </c>
    </row>
    <row r="25" spans="1:5" x14ac:dyDescent="0.3">
      <c r="A25" s="86">
        <f t="shared" si="0"/>
        <v>16</v>
      </c>
      <c r="B25" s="92">
        <f t="shared" si="3"/>
        <v>46875</v>
      </c>
      <c r="C25" s="92">
        <f t="shared" si="1"/>
        <v>21875.000000000004</v>
      </c>
      <c r="D25" s="92">
        <f t="shared" si="2"/>
        <v>25000</v>
      </c>
      <c r="E25" s="92">
        <f t="shared" si="4"/>
        <v>600000</v>
      </c>
    </row>
    <row r="26" spans="1:5" x14ac:dyDescent="0.3">
      <c r="A26" s="86">
        <f t="shared" si="0"/>
        <v>17</v>
      </c>
      <c r="B26" s="92">
        <f t="shared" si="3"/>
        <v>46000</v>
      </c>
      <c r="C26" s="92">
        <f t="shared" si="1"/>
        <v>21000.000000000004</v>
      </c>
      <c r="D26" s="92">
        <f t="shared" si="2"/>
        <v>25000</v>
      </c>
      <c r="E26" s="92">
        <f t="shared" si="4"/>
        <v>575000</v>
      </c>
    </row>
    <row r="27" spans="1:5" x14ac:dyDescent="0.3">
      <c r="A27" s="86">
        <f t="shared" si="0"/>
        <v>18</v>
      </c>
      <c r="B27" s="92">
        <f t="shared" si="3"/>
        <v>45125</v>
      </c>
      <c r="C27" s="92">
        <f t="shared" si="1"/>
        <v>20125.000000000004</v>
      </c>
      <c r="D27" s="92">
        <f t="shared" si="2"/>
        <v>25000</v>
      </c>
      <c r="E27" s="92">
        <f t="shared" si="4"/>
        <v>550000</v>
      </c>
    </row>
    <row r="28" spans="1:5" x14ac:dyDescent="0.3">
      <c r="A28" s="86">
        <f t="shared" si="0"/>
        <v>19</v>
      </c>
      <c r="B28" s="92">
        <f t="shared" si="3"/>
        <v>44250</v>
      </c>
      <c r="C28" s="92">
        <f t="shared" si="1"/>
        <v>19250.000000000004</v>
      </c>
      <c r="D28" s="92">
        <f t="shared" si="2"/>
        <v>25000</v>
      </c>
      <c r="E28" s="92">
        <f t="shared" si="4"/>
        <v>525000</v>
      </c>
    </row>
    <row r="29" spans="1:5" x14ac:dyDescent="0.3">
      <c r="A29" s="86">
        <f t="shared" si="0"/>
        <v>20</v>
      </c>
      <c r="B29" s="92">
        <f t="shared" si="3"/>
        <v>43375</v>
      </c>
      <c r="C29" s="92">
        <f t="shared" si="1"/>
        <v>18375</v>
      </c>
      <c r="D29" s="92">
        <f t="shared" si="2"/>
        <v>25000</v>
      </c>
      <c r="E29" s="92">
        <f t="shared" si="4"/>
        <v>500000</v>
      </c>
    </row>
    <row r="30" spans="1:5" x14ac:dyDescent="0.3">
      <c r="A30" s="86">
        <f t="shared" si="0"/>
        <v>21</v>
      </c>
      <c r="B30" s="92">
        <f t="shared" si="3"/>
        <v>42500</v>
      </c>
      <c r="C30" s="92">
        <f t="shared" si="1"/>
        <v>17500</v>
      </c>
      <c r="D30" s="92">
        <f t="shared" si="2"/>
        <v>25000</v>
      </c>
      <c r="E30" s="92">
        <f t="shared" si="4"/>
        <v>475000</v>
      </c>
    </row>
    <row r="31" spans="1:5" x14ac:dyDescent="0.3">
      <c r="A31" s="86">
        <f t="shared" si="0"/>
        <v>22</v>
      </c>
      <c r="B31" s="92">
        <f t="shared" si="3"/>
        <v>41625</v>
      </c>
      <c r="C31" s="92">
        <f t="shared" si="1"/>
        <v>16625</v>
      </c>
      <c r="D31" s="92">
        <f t="shared" si="2"/>
        <v>25000</v>
      </c>
      <c r="E31" s="92">
        <f t="shared" si="4"/>
        <v>450000</v>
      </c>
    </row>
    <row r="32" spans="1:5" x14ac:dyDescent="0.3">
      <c r="A32" s="86">
        <f t="shared" si="0"/>
        <v>23</v>
      </c>
      <c r="B32" s="92">
        <f t="shared" si="3"/>
        <v>40750</v>
      </c>
      <c r="C32" s="92">
        <f t="shared" si="1"/>
        <v>15750.000000000002</v>
      </c>
      <c r="D32" s="92">
        <f t="shared" si="2"/>
        <v>25000</v>
      </c>
      <c r="E32" s="92">
        <f t="shared" si="4"/>
        <v>425000</v>
      </c>
    </row>
    <row r="33" spans="1:5" x14ac:dyDescent="0.3">
      <c r="A33" s="86">
        <f t="shared" si="0"/>
        <v>24</v>
      </c>
      <c r="B33" s="92">
        <f t="shared" si="3"/>
        <v>39875</v>
      </c>
      <c r="C33" s="92">
        <f t="shared" si="1"/>
        <v>14875.000000000002</v>
      </c>
      <c r="D33" s="92">
        <f t="shared" si="2"/>
        <v>25000</v>
      </c>
      <c r="E33" s="92">
        <f t="shared" si="4"/>
        <v>400000</v>
      </c>
    </row>
    <row r="34" spans="1:5" x14ac:dyDescent="0.3">
      <c r="A34" s="86">
        <f t="shared" si="0"/>
        <v>25</v>
      </c>
      <c r="B34" s="92">
        <f t="shared" si="3"/>
        <v>39000</v>
      </c>
      <c r="C34" s="92">
        <f t="shared" si="1"/>
        <v>14000.000000000002</v>
      </c>
      <c r="D34" s="92">
        <f t="shared" si="2"/>
        <v>25000</v>
      </c>
      <c r="E34" s="92">
        <f t="shared" si="4"/>
        <v>375000</v>
      </c>
    </row>
    <row r="35" spans="1:5" x14ac:dyDescent="0.3">
      <c r="A35" s="86">
        <f t="shared" si="0"/>
        <v>26</v>
      </c>
      <c r="B35" s="92">
        <f t="shared" si="3"/>
        <v>38125</v>
      </c>
      <c r="C35" s="92">
        <f t="shared" si="1"/>
        <v>13125.000000000002</v>
      </c>
      <c r="D35" s="92">
        <f t="shared" si="2"/>
        <v>25000</v>
      </c>
      <c r="E35" s="92">
        <f t="shared" si="4"/>
        <v>350000</v>
      </c>
    </row>
    <row r="36" spans="1:5" x14ac:dyDescent="0.3">
      <c r="A36" s="86">
        <f t="shared" si="0"/>
        <v>27</v>
      </c>
      <c r="B36" s="92">
        <f t="shared" si="3"/>
        <v>37250</v>
      </c>
      <c r="C36" s="92">
        <f t="shared" si="1"/>
        <v>12250.000000000002</v>
      </c>
      <c r="D36" s="92">
        <f t="shared" si="2"/>
        <v>25000</v>
      </c>
      <c r="E36" s="92">
        <f t="shared" si="4"/>
        <v>325000</v>
      </c>
    </row>
    <row r="37" spans="1:5" x14ac:dyDescent="0.3">
      <c r="A37" s="86">
        <f t="shared" si="0"/>
        <v>28</v>
      </c>
      <c r="B37" s="92">
        <f t="shared" si="3"/>
        <v>36375</v>
      </c>
      <c r="C37" s="92">
        <f t="shared" si="1"/>
        <v>11375.000000000002</v>
      </c>
      <c r="D37" s="92">
        <f t="shared" si="2"/>
        <v>25000</v>
      </c>
      <c r="E37" s="92">
        <f t="shared" si="4"/>
        <v>300000</v>
      </c>
    </row>
    <row r="38" spans="1:5" x14ac:dyDescent="0.3">
      <c r="A38" s="86">
        <f t="shared" si="0"/>
        <v>29</v>
      </c>
      <c r="B38" s="92">
        <f t="shared" si="3"/>
        <v>35500</v>
      </c>
      <c r="C38" s="92">
        <f t="shared" si="1"/>
        <v>10500.000000000002</v>
      </c>
      <c r="D38" s="92">
        <f t="shared" si="2"/>
        <v>25000</v>
      </c>
      <c r="E38" s="92">
        <f t="shared" si="4"/>
        <v>275000</v>
      </c>
    </row>
    <row r="39" spans="1:5" x14ac:dyDescent="0.3">
      <c r="A39" s="86">
        <f t="shared" si="0"/>
        <v>30</v>
      </c>
      <c r="B39" s="92">
        <f t="shared" si="3"/>
        <v>34625</v>
      </c>
      <c r="C39" s="92">
        <f t="shared" si="1"/>
        <v>9625.0000000000018</v>
      </c>
      <c r="D39" s="92">
        <f t="shared" si="2"/>
        <v>25000</v>
      </c>
      <c r="E39" s="92">
        <f t="shared" si="4"/>
        <v>250000</v>
      </c>
    </row>
    <row r="40" spans="1:5" x14ac:dyDescent="0.3">
      <c r="A40" s="86">
        <f t="shared" si="0"/>
        <v>31</v>
      </c>
      <c r="B40" s="92">
        <f t="shared" si="3"/>
        <v>33750</v>
      </c>
      <c r="C40" s="92">
        <f t="shared" si="1"/>
        <v>8750</v>
      </c>
      <c r="D40" s="92">
        <f t="shared" si="2"/>
        <v>25000</v>
      </c>
      <c r="E40" s="92">
        <f t="shared" si="4"/>
        <v>225000</v>
      </c>
    </row>
    <row r="41" spans="1:5" x14ac:dyDescent="0.3">
      <c r="A41" s="86">
        <f t="shared" si="0"/>
        <v>32</v>
      </c>
      <c r="B41" s="92">
        <f t="shared" si="3"/>
        <v>32875</v>
      </c>
      <c r="C41" s="92">
        <f t="shared" si="1"/>
        <v>7875.0000000000009</v>
      </c>
      <c r="D41" s="92">
        <f t="shared" si="2"/>
        <v>25000</v>
      </c>
      <c r="E41" s="92">
        <f t="shared" si="4"/>
        <v>200000</v>
      </c>
    </row>
    <row r="42" spans="1:5" x14ac:dyDescent="0.3">
      <c r="A42" s="86">
        <f t="shared" si="0"/>
        <v>33</v>
      </c>
      <c r="B42" s="92">
        <f t="shared" si="3"/>
        <v>32000</v>
      </c>
      <c r="C42" s="92">
        <f t="shared" si="1"/>
        <v>7000.0000000000009</v>
      </c>
      <c r="D42" s="92">
        <f t="shared" si="2"/>
        <v>25000</v>
      </c>
      <c r="E42" s="92">
        <f t="shared" si="4"/>
        <v>175000</v>
      </c>
    </row>
    <row r="43" spans="1:5" x14ac:dyDescent="0.3">
      <c r="A43" s="86">
        <f t="shared" si="0"/>
        <v>34</v>
      </c>
      <c r="B43" s="92">
        <f t="shared" si="3"/>
        <v>31125</v>
      </c>
      <c r="C43" s="92">
        <f t="shared" si="1"/>
        <v>6125.0000000000009</v>
      </c>
      <c r="D43" s="92">
        <f t="shared" si="2"/>
        <v>25000</v>
      </c>
      <c r="E43" s="92">
        <f t="shared" si="4"/>
        <v>150000</v>
      </c>
    </row>
    <row r="44" spans="1:5" x14ac:dyDescent="0.3">
      <c r="A44" s="86">
        <f t="shared" si="0"/>
        <v>35</v>
      </c>
      <c r="B44" s="92">
        <f t="shared" si="3"/>
        <v>30250</v>
      </c>
      <c r="C44" s="92">
        <f t="shared" si="1"/>
        <v>5250.0000000000009</v>
      </c>
      <c r="D44" s="92">
        <f t="shared" si="2"/>
        <v>25000</v>
      </c>
      <c r="E44" s="92">
        <f t="shared" si="4"/>
        <v>125000</v>
      </c>
    </row>
    <row r="45" spans="1:5" x14ac:dyDescent="0.3">
      <c r="A45" s="86">
        <f t="shared" si="0"/>
        <v>36</v>
      </c>
      <c r="B45" s="92">
        <f t="shared" si="3"/>
        <v>29375</v>
      </c>
      <c r="C45" s="92">
        <f t="shared" si="1"/>
        <v>4375</v>
      </c>
      <c r="D45" s="92">
        <f t="shared" si="2"/>
        <v>25000</v>
      </c>
      <c r="E45" s="92">
        <f t="shared" si="4"/>
        <v>100000</v>
      </c>
    </row>
    <row r="46" spans="1:5" x14ac:dyDescent="0.3">
      <c r="A46" s="86">
        <f t="shared" si="0"/>
        <v>37</v>
      </c>
      <c r="B46" s="92">
        <f t="shared" si="3"/>
        <v>28500</v>
      </c>
      <c r="C46" s="92">
        <f t="shared" si="1"/>
        <v>3500.0000000000005</v>
      </c>
      <c r="D46" s="92">
        <f t="shared" si="2"/>
        <v>25000</v>
      </c>
      <c r="E46" s="92">
        <f t="shared" si="4"/>
        <v>75000</v>
      </c>
    </row>
    <row r="47" spans="1:5" x14ac:dyDescent="0.3">
      <c r="A47" s="86">
        <f t="shared" si="0"/>
        <v>38</v>
      </c>
      <c r="B47" s="92">
        <f t="shared" si="3"/>
        <v>27625</v>
      </c>
      <c r="C47" s="92">
        <f t="shared" si="1"/>
        <v>2625.0000000000005</v>
      </c>
      <c r="D47" s="92">
        <f t="shared" si="2"/>
        <v>25000</v>
      </c>
      <c r="E47" s="92">
        <f t="shared" si="4"/>
        <v>50000</v>
      </c>
    </row>
    <row r="48" spans="1:5" x14ac:dyDescent="0.3">
      <c r="A48" s="86">
        <f t="shared" si="0"/>
        <v>39</v>
      </c>
      <c r="B48" s="92">
        <f t="shared" si="3"/>
        <v>26750</v>
      </c>
      <c r="C48" s="92">
        <f t="shared" si="1"/>
        <v>1750.0000000000002</v>
      </c>
      <c r="D48" s="92">
        <f t="shared" si="2"/>
        <v>25000</v>
      </c>
      <c r="E48" s="92">
        <f t="shared" si="4"/>
        <v>25000</v>
      </c>
    </row>
    <row r="49" spans="1:5" x14ac:dyDescent="0.3">
      <c r="A49" s="86">
        <f t="shared" si="0"/>
        <v>40</v>
      </c>
      <c r="B49" s="92">
        <f t="shared" si="3"/>
        <v>25875</v>
      </c>
      <c r="C49" s="92">
        <f t="shared" si="1"/>
        <v>875.00000000000011</v>
      </c>
      <c r="D49" s="92">
        <f t="shared" si="2"/>
        <v>25000</v>
      </c>
      <c r="E49" s="92">
        <f t="shared" si="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zoomScale="97" zoomScaleNormal="97" workbookViewId="0">
      <selection activeCell="C4" sqref="C4"/>
    </sheetView>
  </sheetViews>
  <sheetFormatPr defaultRowHeight="14.4" x14ac:dyDescent="0.3"/>
  <cols>
    <col min="1" max="1" width="23.109375" customWidth="1"/>
    <col min="2" max="2" width="10.88671875" customWidth="1"/>
    <col min="3" max="3" width="15.33203125" customWidth="1"/>
    <col min="4" max="4" width="14.109375" customWidth="1"/>
    <col min="5" max="5" width="10.44140625" bestFit="1" customWidth="1"/>
    <col min="6" max="6" width="10.5546875" bestFit="1" customWidth="1"/>
    <col min="8" max="8" width="10" bestFit="1" customWidth="1"/>
    <col min="10" max="10" width="10.44140625" bestFit="1" customWidth="1"/>
  </cols>
  <sheetData>
    <row r="1" spans="1:10" x14ac:dyDescent="0.3">
      <c r="A1" s="8" t="s">
        <v>9</v>
      </c>
      <c r="B1" s="1" t="s">
        <v>2</v>
      </c>
      <c r="C1" s="4">
        <v>0.1</v>
      </c>
      <c r="D1" t="s">
        <v>249</v>
      </c>
    </row>
    <row r="2" spans="1:10" ht="28.95" x14ac:dyDescent="0.3">
      <c r="A2" s="8" t="s">
        <v>27</v>
      </c>
      <c r="B2" s="1" t="s">
        <v>3</v>
      </c>
      <c r="C2" s="3">
        <v>2</v>
      </c>
    </row>
    <row r="3" spans="1:10" x14ac:dyDescent="0.3">
      <c r="A3" s="8" t="s">
        <v>10</v>
      </c>
      <c r="B3" s="1" t="s">
        <v>4</v>
      </c>
      <c r="C3" s="3">
        <v>5</v>
      </c>
    </row>
    <row r="4" spans="1:10" x14ac:dyDescent="0.3">
      <c r="A4" s="8" t="s">
        <v>11</v>
      </c>
      <c r="B4" s="1" t="s">
        <v>5</v>
      </c>
      <c r="C4" s="2">
        <f>C1/C2</f>
        <v>0.05</v>
      </c>
    </row>
    <row r="5" spans="1:10" x14ac:dyDescent="0.3">
      <c r="A5" s="8" t="s">
        <v>12</v>
      </c>
      <c r="B5" s="1" t="s">
        <v>6</v>
      </c>
      <c r="C5" s="2">
        <f>C3*C2</f>
        <v>10</v>
      </c>
      <c r="J5" t="s">
        <v>34</v>
      </c>
    </row>
    <row r="6" spans="1:10" x14ac:dyDescent="0.3">
      <c r="A6" s="8" t="s">
        <v>8</v>
      </c>
      <c r="B6" s="1" t="s">
        <v>0</v>
      </c>
      <c r="C6" s="18">
        <f>SUM(D9:D19)</f>
        <v>-5998.6127893096937</v>
      </c>
      <c r="J6" s="12">
        <f>SUMPRODUCT(NPV(C4,-C10:C19))</f>
        <v>-5998.6127893096909</v>
      </c>
    </row>
    <row r="7" spans="1:10" x14ac:dyDescent="0.3">
      <c r="A7" s="16"/>
      <c r="B7" s="5"/>
    </row>
    <row r="8" spans="1:10" ht="43.2" x14ac:dyDescent="0.3">
      <c r="A8" s="11" t="s">
        <v>25</v>
      </c>
      <c r="B8" s="11" t="s">
        <v>48</v>
      </c>
      <c r="C8" s="11" t="s">
        <v>31</v>
      </c>
      <c r="D8" s="11" t="s">
        <v>32</v>
      </c>
      <c r="F8" s="11" t="s">
        <v>13</v>
      </c>
    </row>
    <row r="9" spans="1:10" x14ac:dyDescent="0.3">
      <c r="A9" s="9" t="s">
        <v>14</v>
      </c>
      <c r="B9" s="1">
        <v>0</v>
      </c>
      <c r="C9" s="14"/>
      <c r="D9" s="18">
        <f>PV($C$4,B9,,C9)</f>
        <v>0</v>
      </c>
      <c r="F9" s="18">
        <f>-C9/(1+$C$4)^B9</f>
        <v>0</v>
      </c>
    </row>
    <row r="10" spans="1:10" x14ac:dyDescent="0.3">
      <c r="A10" s="9" t="s">
        <v>15</v>
      </c>
      <c r="B10" s="1">
        <v>1</v>
      </c>
      <c r="C10" s="14"/>
      <c r="D10" s="18">
        <f t="shared" ref="D10:D19" si="0">PV($C$4,B10,,C10)</f>
        <v>0</v>
      </c>
      <c r="F10" s="18">
        <f t="shared" ref="F10:F19" si="1">-C10/(1+$C$4)^B10</f>
        <v>0</v>
      </c>
    </row>
    <row r="11" spans="1:10" x14ac:dyDescent="0.3">
      <c r="A11" s="9" t="s">
        <v>16</v>
      </c>
      <c r="B11" s="1">
        <v>2</v>
      </c>
      <c r="C11" s="14"/>
      <c r="D11" s="18">
        <f t="shared" si="0"/>
        <v>0</v>
      </c>
      <c r="F11" s="18">
        <f t="shared" si="1"/>
        <v>0</v>
      </c>
    </row>
    <row r="12" spans="1:10" x14ac:dyDescent="0.3">
      <c r="A12" s="9" t="s">
        <v>17</v>
      </c>
      <c r="B12" s="1">
        <v>3</v>
      </c>
      <c r="C12" s="14"/>
      <c r="D12" s="18">
        <f t="shared" si="0"/>
        <v>0</v>
      </c>
      <c r="F12" s="18">
        <f t="shared" si="1"/>
        <v>0</v>
      </c>
    </row>
    <row r="13" spans="1:10" x14ac:dyDescent="0.3">
      <c r="A13" s="9" t="s">
        <v>18</v>
      </c>
      <c r="B13" s="1">
        <v>4</v>
      </c>
      <c r="C13" s="14">
        <v>1000</v>
      </c>
      <c r="D13" s="18">
        <f t="shared" si="0"/>
        <v>-822.70247479188197</v>
      </c>
      <c r="F13" s="18">
        <f t="shared" si="1"/>
        <v>-822.70247479188197</v>
      </c>
    </row>
    <row r="14" spans="1:10" x14ac:dyDescent="0.3">
      <c r="A14" s="9" t="s">
        <v>19</v>
      </c>
      <c r="B14" s="1">
        <v>5</v>
      </c>
      <c r="C14" s="14"/>
      <c r="D14" s="18">
        <f t="shared" si="0"/>
        <v>0</v>
      </c>
      <c r="F14" s="18">
        <f t="shared" si="1"/>
        <v>0</v>
      </c>
    </row>
    <row r="15" spans="1:10" x14ac:dyDescent="0.3">
      <c r="A15" s="9" t="s">
        <v>20</v>
      </c>
      <c r="B15" s="1">
        <v>6</v>
      </c>
      <c r="C15" s="14">
        <v>2000</v>
      </c>
      <c r="D15" s="18">
        <f t="shared" si="0"/>
        <v>-1492.4307932732554</v>
      </c>
      <c r="F15" s="18">
        <f t="shared" si="1"/>
        <v>-1492.4307932732554</v>
      </c>
    </row>
    <row r="16" spans="1:10" x14ac:dyDescent="0.3">
      <c r="A16" s="9" t="s">
        <v>21</v>
      </c>
      <c r="B16" s="1">
        <v>7</v>
      </c>
      <c r="C16" s="14"/>
      <c r="D16" s="18">
        <f t="shared" si="0"/>
        <v>0</v>
      </c>
      <c r="F16" s="18">
        <f t="shared" si="1"/>
        <v>0</v>
      </c>
    </row>
    <row r="17" spans="1:8" x14ac:dyDescent="0.3">
      <c r="A17" s="9" t="s">
        <v>22</v>
      </c>
      <c r="B17" s="1">
        <v>8</v>
      </c>
      <c r="C17" s="14"/>
      <c r="D17" s="18">
        <f t="shared" si="0"/>
        <v>0</v>
      </c>
      <c r="F17" s="18">
        <f t="shared" si="1"/>
        <v>0</v>
      </c>
    </row>
    <row r="18" spans="1:8" x14ac:dyDescent="0.3">
      <c r="A18" s="9" t="s">
        <v>23</v>
      </c>
      <c r="B18" s="1">
        <v>9</v>
      </c>
      <c r="C18" s="14"/>
      <c r="D18" s="18">
        <f t="shared" si="0"/>
        <v>0</v>
      </c>
      <c r="F18" s="18">
        <f t="shared" si="1"/>
        <v>0</v>
      </c>
    </row>
    <row r="19" spans="1:8" x14ac:dyDescent="0.3">
      <c r="A19" s="9" t="s">
        <v>24</v>
      </c>
      <c r="B19" s="1">
        <v>10</v>
      </c>
      <c r="C19" s="14">
        <v>6000</v>
      </c>
      <c r="D19" s="18">
        <f t="shared" si="0"/>
        <v>-3683.4795212445561</v>
      </c>
      <c r="F19" s="18">
        <f t="shared" si="1"/>
        <v>-3683.4795212445561</v>
      </c>
    </row>
    <row r="21" spans="1:8" x14ac:dyDescent="0.3">
      <c r="F21" s="13">
        <f>SUM(F9:F19)</f>
        <v>-5998.6127893096937</v>
      </c>
      <c r="H21" s="12"/>
    </row>
    <row r="22" spans="1:8" ht="28.95" x14ac:dyDescent="0.3">
      <c r="A22" s="15"/>
      <c r="C22" s="17" t="s">
        <v>33</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53"/>
  <sheetViews>
    <sheetView zoomScale="145" zoomScaleNormal="145" workbookViewId="0">
      <selection activeCell="B1" sqref="B1"/>
    </sheetView>
  </sheetViews>
  <sheetFormatPr defaultColWidth="22.88671875" defaultRowHeight="13.2" x14ac:dyDescent="0.25"/>
  <cols>
    <col min="1" max="1" width="24.77734375" style="84" customWidth="1"/>
    <col min="2" max="2" width="14.21875" style="84" bestFit="1" customWidth="1"/>
    <col min="3" max="3" width="15.77734375" style="84" customWidth="1"/>
    <col min="4" max="4" width="28.33203125" style="84" customWidth="1"/>
    <col min="5" max="5" width="12.6640625" style="84" bestFit="1" customWidth="1"/>
    <col min="6" max="256" width="22.88671875" style="84"/>
    <col min="257" max="257" width="22.6640625" style="84" bestFit="1" customWidth="1"/>
    <col min="258" max="258" width="13.44140625" style="84" bestFit="1" customWidth="1"/>
    <col min="259" max="259" width="7.33203125" style="84" bestFit="1" customWidth="1"/>
    <col min="260" max="260" width="28.33203125" style="84" customWidth="1"/>
    <col min="261" max="261" width="12.6640625" style="84" bestFit="1" customWidth="1"/>
    <col min="262" max="512" width="22.88671875" style="84"/>
    <col min="513" max="513" width="22.6640625" style="84" bestFit="1" customWidth="1"/>
    <col min="514" max="514" width="13.44140625" style="84" bestFit="1" customWidth="1"/>
    <col min="515" max="515" width="7.33203125" style="84" bestFit="1" customWidth="1"/>
    <col min="516" max="516" width="28.33203125" style="84" customWidth="1"/>
    <col min="517" max="517" width="12.6640625" style="84" bestFit="1" customWidth="1"/>
    <col min="518" max="768" width="22.88671875" style="84"/>
    <col min="769" max="769" width="22.6640625" style="84" bestFit="1" customWidth="1"/>
    <col min="770" max="770" width="13.44140625" style="84" bestFit="1" customWidth="1"/>
    <col min="771" max="771" width="7.33203125" style="84" bestFit="1" customWidth="1"/>
    <col min="772" max="772" width="28.33203125" style="84" customWidth="1"/>
    <col min="773" max="773" width="12.6640625" style="84" bestFit="1" customWidth="1"/>
    <col min="774" max="1024" width="22.88671875" style="84"/>
    <col min="1025" max="1025" width="22.6640625" style="84" bestFit="1" customWidth="1"/>
    <col min="1026" max="1026" width="13.44140625" style="84" bestFit="1" customWidth="1"/>
    <col min="1027" max="1027" width="7.33203125" style="84" bestFit="1" customWidth="1"/>
    <col min="1028" max="1028" width="28.33203125" style="84" customWidth="1"/>
    <col min="1029" max="1029" width="12.6640625" style="84" bestFit="1" customWidth="1"/>
    <col min="1030" max="1280" width="22.88671875" style="84"/>
    <col min="1281" max="1281" width="22.6640625" style="84" bestFit="1" customWidth="1"/>
    <col min="1282" max="1282" width="13.44140625" style="84" bestFit="1" customWidth="1"/>
    <col min="1283" max="1283" width="7.33203125" style="84" bestFit="1" customWidth="1"/>
    <col min="1284" max="1284" width="28.33203125" style="84" customWidth="1"/>
    <col min="1285" max="1285" width="12.6640625" style="84" bestFit="1" customWidth="1"/>
    <col min="1286" max="1536" width="22.88671875" style="84"/>
    <col min="1537" max="1537" width="22.6640625" style="84" bestFit="1" customWidth="1"/>
    <col min="1538" max="1538" width="13.44140625" style="84" bestFit="1" customWidth="1"/>
    <col min="1539" max="1539" width="7.33203125" style="84" bestFit="1" customWidth="1"/>
    <col min="1540" max="1540" width="28.33203125" style="84" customWidth="1"/>
    <col min="1541" max="1541" width="12.6640625" style="84" bestFit="1" customWidth="1"/>
    <col min="1542" max="1792" width="22.88671875" style="84"/>
    <col min="1793" max="1793" width="22.6640625" style="84" bestFit="1" customWidth="1"/>
    <col min="1794" max="1794" width="13.44140625" style="84" bestFit="1" customWidth="1"/>
    <col min="1795" max="1795" width="7.33203125" style="84" bestFit="1" customWidth="1"/>
    <col min="1796" max="1796" width="28.33203125" style="84" customWidth="1"/>
    <col min="1797" max="1797" width="12.6640625" style="84" bestFit="1" customWidth="1"/>
    <col min="1798" max="2048" width="22.88671875" style="84"/>
    <col min="2049" max="2049" width="22.6640625" style="84" bestFit="1" customWidth="1"/>
    <col min="2050" max="2050" width="13.44140625" style="84" bestFit="1" customWidth="1"/>
    <col min="2051" max="2051" width="7.33203125" style="84" bestFit="1" customWidth="1"/>
    <col min="2052" max="2052" width="28.33203125" style="84" customWidth="1"/>
    <col min="2053" max="2053" width="12.6640625" style="84" bestFit="1" customWidth="1"/>
    <col min="2054" max="2304" width="22.88671875" style="84"/>
    <col min="2305" max="2305" width="22.6640625" style="84" bestFit="1" customWidth="1"/>
    <col min="2306" max="2306" width="13.44140625" style="84" bestFit="1" customWidth="1"/>
    <col min="2307" max="2307" width="7.33203125" style="84" bestFit="1" customWidth="1"/>
    <col min="2308" max="2308" width="28.33203125" style="84" customWidth="1"/>
    <col min="2309" max="2309" width="12.6640625" style="84" bestFit="1" customWidth="1"/>
    <col min="2310" max="2560" width="22.88671875" style="84"/>
    <col min="2561" max="2561" width="22.6640625" style="84" bestFit="1" customWidth="1"/>
    <col min="2562" max="2562" width="13.44140625" style="84" bestFit="1" customWidth="1"/>
    <col min="2563" max="2563" width="7.33203125" style="84" bestFit="1" customWidth="1"/>
    <col min="2564" max="2564" width="28.33203125" style="84" customWidth="1"/>
    <col min="2565" max="2565" width="12.6640625" style="84" bestFit="1" customWidth="1"/>
    <col min="2566" max="2816" width="22.88671875" style="84"/>
    <col min="2817" max="2817" width="22.6640625" style="84" bestFit="1" customWidth="1"/>
    <col min="2818" max="2818" width="13.44140625" style="84" bestFit="1" customWidth="1"/>
    <col min="2819" max="2819" width="7.33203125" style="84" bestFit="1" customWidth="1"/>
    <col min="2820" max="2820" width="28.33203125" style="84" customWidth="1"/>
    <col min="2821" max="2821" width="12.6640625" style="84" bestFit="1" customWidth="1"/>
    <col min="2822" max="3072" width="22.88671875" style="84"/>
    <col min="3073" max="3073" width="22.6640625" style="84" bestFit="1" customWidth="1"/>
    <col min="3074" max="3074" width="13.44140625" style="84" bestFit="1" customWidth="1"/>
    <col min="3075" max="3075" width="7.33203125" style="84" bestFit="1" customWidth="1"/>
    <col min="3076" max="3076" width="28.33203125" style="84" customWidth="1"/>
    <col min="3077" max="3077" width="12.6640625" style="84" bestFit="1" customWidth="1"/>
    <col min="3078" max="3328" width="22.88671875" style="84"/>
    <col min="3329" max="3329" width="22.6640625" style="84" bestFit="1" customWidth="1"/>
    <col min="3330" max="3330" width="13.44140625" style="84" bestFit="1" customWidth="1"/>
    <col min="3331" max="3331" width="7.33203125" style="84" bestFit="1" customWidth="1"/>
    <col min="3332" max="3332" width="28.33203125" style="84" customWidth="1"/>
    <col min="3333" max="3333" width="12.6640625" style="84" bestFit="1" customWidth="1"/>
    <col min="3334" max="3584" width="22.88671875" style="84"/>
    <col min="3585" max="3585" width="22.6640625" style="84" bestFit="1" customWidth="1"/>
    <col min="3586" max="3586" width="13.44140625" style="84" bestFit="1" customWidth="1"/>
    <col min="3587" max="3587" width="7.33203125" style="84" bestFit="1" customWidth="1"/>
    <col min="3588" max="3588" width="28.33203125" style="84" customWidth="1"/>
    <col min="3589" max="3589" width="12.6640625" style="84" bestFit="1" customWidth="1"/>
    <col min="3590" max="3840" width="22.88671875" style="84"/>
    <col min="3841" max="3841" width="22.6640625" style="84" bestFit="1" customWidth="1"/>
    <col min="3842" max="3842" width="13.44140625" style="84" bestFit="1" customWidth="1"/>
    <col min="3843" max="3843" width="7.33203125" style="84" bestFit="1" customWidth="1"/>
    <col min="3844" max="3844" width="28.33203125" style="84" customWidth="1"/>
    <col min="3845" max="3845" width="12.6640625" style="84" bestFit="1" customWidth="1"/>
    <col min="3846" max="4096" width="22.88671875" style="84"/>
    <col min="4097" max="4097" width="22.6640625" style="84" bestFit="1" customWidth="1"/>
    <col min="4098" max="4098" width="13.44140625" style="84" bestFit="1" customWidth="1"/>
    <col min="4099" max="4099" width="7.33203125" style="84" bestFit="1" customWidth="1"/>
    <col min="4100" max="4100" width="28.33203125" style="84" customWidth="1"/>
    <col min="4101" max="4101" width="12.6640625" style="84" bestFit="1" customWidth="1"/>
    <col min="4102" max="4352" width="22.88671875" style="84"/>
    <col min="4353" max="4353" width="22.6640625" style="84" bestFit="1" customWidth="1"/>
    <col min="4354" max="4354" width="13.44140625" style="84" bestFit="1" customWidth="1"/>
    <col min="4355" max="4355" width="7.33203125" style="84" bestFit="1" customWidth="1"/>
    <col min="4356" max="4356" width="28.33203125" style="84" customWidth="1"/>
    <col min="4357" max="4357" width="12.6640625" style="84" bestFit="1" customWidth="1"/>
    <col min="4358" max="4608" width="22.88671875" style="84"/>
    <col min="4609" max="4609" width="22.6640625" style="84" bestFit="1" customWidth="1"/>
    <col min="4610" max="4610" width="13.44140625" style="84" bestFit="1" customWidth="1"/>
    <col min="4611" max="4611" width="7.33203125" style="84" bestFit="1" customWidth="1"/>
    <col min="4612" max="4612" width="28.33203125" style="84" customWidth="1"/>
    <col min="4613" max="4613" width="12.6640625" style="84" bestFit="1" customWidth="1"/>
    <col min="4614" max="4864" width="22.88671875" style="84"/>
    <col min="4865" max="4865" width="22.6640625" style="84" bestFit="1" customWidth="1"/>
    <col min="4866" max="4866" width="13.44140625" style="84" bestFit="1" customWidth="1"/>
    <col min="4867" max="4867" width="7.33203125" style="84" bestFit="1" customWidth="1"/>
    <col min="4868" max="4868" width="28.33203125" style="84" customWidth="1"/>
    <col min="4869" max="4869" width="12.6640625" style="84" bestFit="1" customWidth="1"/>
    <col min="4870" max="5120" width="22.88671875" style="84"/>
    <col min="5121" max="5121" width="22.6640625" style="84" bestFit="1" customWidth="1"/>
    <col min="5122" max="5122" width="13.44140625" style="84" bestFit="1" customWidth="1"/>
    <col min="5123" max="5123" width="7.33203125" style="84" bestFit="1" customWidth="1"/>
    <col min="5124" max="5124" width="28.33203125" style="84" customWidth="1"/>
    <col min="5125" max="5125" width="12.6640625" style="84" bestFit="1" customWidth="1"/>
    <col min="5126" max="5376" width="22.88671875" style="84"/>
    <col min="5377" max="5377" width="22.6640625" style="84" bestFit="1" customWidth="1"/>
    <col min="5378" max="5378" width="13.44140625" style="84" bestFit="1" customWidth="1"/>
    <col min="5379" max="5379" width="7.33203125" style="84" bestFit="1" customWidth="1"/>
    <col min="5380" max="5380" width="28.33203125" style="84" customWidth="1"/>
    <col min="5381" max="5381" width="12.6640625" style="84" bestFit="1" customWidth="1"/>
    <col min="5382" max="5632" width="22.88671875" style="84"/>
    <col min="5633" max="5633" width="22.6640625" style="84" bestFit="1" customWidth="1"/>
    <col min="5634" max="5634" width="13.44140625" style="84" bestFit="1" customWidth="1"/>
    <col min="5635" max="5635" width="7.33203125" style="84" bestFit="1" customWidth="1"/>
    <col min="5636" max="5636" width="28.33203125" style="84" customWidth="1"/>
    <col min="5637" max="5637" width="12.6640625" style="84" bestFit="1" customWidth="1"/>
    <col min="5638" max="5888" width="22.88671875" style="84"/>
    <col min="5889" max="5889" width="22.6640625" style="84" bestFit="1" customWidth="1"/>
    <col min="5890" max="5890" width="13.44140625" style="84" bestFit="1" customWidth="1"/>
    <col min="5891" max="5891" width="7.33203125" style="84" bestFit="1" customWidth="1"/>
    <col min="5892" max="5892" width="28.33203125" style="84" customWidth="1"/>
    <col min="5893" max="5893" width="12.6640625" style="84" bestFit="1" customWidth="1"/>
    <col min="5894" max="6144" width="22.88671875" style="84"/>
    <col min="6145" max="6145" width="22.6640625" style="84" bestFit="1" customWidth="1"/>
    <col min="6146" max="6146" width="13.44140625" style="84" bestFit="1" customWidth="1"/>
    <col min="6147" max="6147" width="7.33203125" style="84" bestFit="1" customWidth="1"/>
    <col min="6148" max="6148" width="28.33203125" style="84" customWidth="1"/>
    <col min="6149" max="6149" width="12.6640625" style="84" bestFit="1" customWidth="1"/>
    <col min="6150" max="6400" width="22.88671875" style="84"/>
    <col min="6401" max="6401" width="22.6640625" style="84" bestFit="1" customWidth="1"/>
    <col min="6402" max="6402" width="13.44140625" style="84" bestFit="1" customWidth="1"/>
    <col min="6403" max="6403" width="7.33203125" style="84" bestFit="1" customWidth="1"/>
    <col min="6404" max="6404" width="28.33203125" style="84" customWidth="1"/>
    <col min="6405" max="6405" width="12.6640625" style="84" bestFit="1" customWidth="1"/>
    <col min="6406" max="6656" width="22.88671875" style="84"/>
    <col min="6657" max="6657" width="22.6640625" style="84" bestFit="1" customWidth="1"/>
    <col min="6658" max="6658" width="13.44140625" style="84" bestFit="1" customWidth="1"/>
    <col min="6659" max="6659" width="7.33203125" style="84" bestFit="1" customWidth="1"/>
    <col min="6660" max="6660" width="28.33203125" style="84" customWidth="1"/>
    <col min="6661" max="6661" width="12.6640625" style="84" bestFit="1" customWidth="1"/>
    <col min="6662" max="6912" width="22.88671875" style="84"/>
    <col min="6913" max="6913" width="22.6640625" style="84" bestFit="1" customWidth="1"/>
    <col min="6914" max="6914" width="13.44140625" style="84" bestFit="1" customWidth="1"/>
    <col min="6915" max="6915" width="7.33203125" style="84" bestFit="1" customWidth="1"/>
    <col min="6916" max="6916" width="28.33203125" style="84" customWidth="1"/>
    <col min="6917" max="6917" width="12.6640625" style="84" bestFit="1" customWidth="1"/>
    <col min="6918" max="7168" width="22.88671875" style="84"/>
    <col min="7169" max="7169" width="22.6640625" style="84" bestFit="1" customWidth="1"/>
    <col min="7170" max="7170" width="13.44140625" style="84" bestFit="1" customWidth="1"/>
    <col min="7171" max="7171" width="7.33203125" style="84" bestFit="1" customWidth="1"/>
    <col min="7172" max="7172" width="28.33203125" style="84" customWidth="1"/>
    <col min="7173" max="7173" width="12.6640625" style="84" bestFit="1" customWidth="1"/>
    <col min="7174" max="7424" width="22.88671875" style="84"/>
    <col min="7425" max="7425" width="22.6640625" style="84" bestFit="1" customWidth="1"/>
    <col min="7426" max="7426" width="13.44140625" style="84" bestFit="1" customWidth="1"/>
    <col min="7427" max="7427" width="7.33203125" style="84" bestFit="1" customWidth="1"/>
    <col min="7428" max="7428" width="28.33203125" style="84" customWidth="1"/>
    <col min="7429" max="7429" width="12.6640625" style="84" bestFit="1" customWidth="1"/>
    <col min="7430" max="7680" width="22.88671875" style="84"/>
    <col min="7681" max="7681" width="22.6640625" style="84" bestFit="1" customWidth="1"/>
    <col min="7682" max="7682" width="13.44140625" style="84" bestFit="1" customWidth="1"/>
    <col min="7683" max="7683" width="7.33203125" style="84" bestFit="1" customWidth="1"/>
    <col min="7684" max="7684" width="28.33203125" style="84" customWidth="1"/>
    <col min="7685" max="7685" width="12.6640625" style="84" bestFit="1" customWidth="1"/>
    <col min="7686" max="7936" width="22.88671875" style="84"/>
    <col min="7937" max="7937" width="22.6640625" style="84" bestFit="1" customWidth="1"/>
    <col min="7938" max="7938" width="13.44140625" style="84" bestFit="1" customWidth="1"/>
    <col min="7939" max="7939" width="7.33203125" style="84" bestFit="1" customWidth="1"/>
    <col min="7940" max="7940" width="28.33203125" style="84" customWidth="1"/>
    <col min="7941" max="7941" width="12.6640625" style="84" bestFit="1" customWidth="1"/>
    <col min="7942" max="8192" width="22.88671875" style="84"/>
    <col min="8193" max="8193" width="22.6640625" style="84" bestFit="1" customWidth="1"/>
    <col min="8194" max="8194" width="13.44140625" style="84" bestFit="1" customWidth="1"/>
    <col min="8195" max="8195" width="7.33203125" style="84" bestFit="1" customWidth="1"/>
    <col min="8196" max="8196" width="28.33203125" style="84" customWidth="1"/>
    <col min="8197" max="8197" width="12.6640625" style="84" bestFit="1" customWidth="1"/>
    <col min="8198" max="8448" width="22.88671875" style="84"/>
    <col min="8449" max="8449" width="22.6640625" style="84" bestFit="1" customWidth="1"/>
    <col min="8450" max="8450" width="13.44140625" style="84" bestFit="1" customWidth="1"/>
    <col min="8451" max="8451" width="7.33203125" style="84" bestFit="1" customWidth="1"/>
    <col min="8452" max="8452" width="28.33203125" style="84" customWidth="1"/>
    <col min="8453" max="8453" width="12.6640625" style="84" bestFit="1" customWidth="1"/>
    <col min="8454" max="8704" width="22.88671875" style="84"/>
    <col min="8705" max="8705" width="22.6640625" style="84" bestFit="1" customWidth="1"/>
    <col min="8706" max="8706" width="13.44140625" style="84" bestFit="1" customWidth="1"/>
    <col min="8707" max="8707" width="7.33203125" style="84" bestFit="1" customWidth="1"/>
    <col min="8708" max="8708" width="28.33203125" style="84" customWidth="1"/>
    <col min="8709" max="8709" width="12.6640625" style="84" bestFit="1" customWidth="1"/>
    <col min="8710" max="8960" width="22.88671875" style="84"/>
    <col min="8961" max="8961" width="22.6640625" style="84" bestFit="1" customWidth="1"/>
    <col min="8962" max="8962" width="13.44140625" style="84" bestFit="1" customWidth="1"/>
    <col min="8963" max="8963" width="7.33203125" style="84" bestFit="1" customWidth="1"/>
    <col min="8964" max="8964" width="28.33203125" style="84" customWidth="1"/>
    <col min="8965" max="8965" width="12.6640625" style="84" bestFit="1" customWidth="1"/>
    <col min="8966" max="9216" width="22.88671875" style="84"/>
    <col min="9217" max="9217" width="22.6640625" style="84" bestFit="1" customWidth="1"/>
    <col min="9218" max="9218" width="13.44140625" style="84" bestFit="1" customWidth="1"/>
    <col min="9219" max="9219" width="7.33203125" style="84" bestFit="1" customWidth="1"/>
    <col min="9220" max="9220" width="28.33203125" style="84" customWidth="1"/>
    <col min="9221" max="9221" width="12.6640625" style="84" bestFit="1" customWidth="1"/>
    <col min="9222" max="9472" width="22.88671875" style="84"/>
    <col min="9473" max="9473" width="22.6640625" style="84" bestFit="1" customWidth="1"/>
    <col min="9474" max="9474" width="13.44140625" style="84" bestFit="1" customWidth="1"/>
    <col min="9475" max="9475" width="7.33203125" style="84" bestFit="1" customWidth="1"/>
    <col min="9476" max="9476" width="28.33203125" style="84" customWidth="1"/>
    <col min="9477" max="9477" width="12.6640625" style="84" bestFit="1" customWidth="1"/>
    <col min="9478" max="9728" width="22.88671875" style="84"/>
    <col min="9729" max="9729" width="22.6640625" style="84" bestFit="1" customWidth="1"/>
    <col min="9730" max="9730" width="13.44140625" style="84" bestFit="1" customWidth="1"/>
    <col min="9731" max="9731" width="7.33203125" style="84" bestFit="1" customWidth="1"/>
    <col min="9732" max="9732" width="28.33203125" style="84" customWidth="1"/>
    <col min="9733" max="9733" width="12.6640625" style="84" bestFit="1" customWidth="1"/>
    <col min="9734" max="9984" width="22.88671875" style="84"/>
    <col min="9985" max="9985" width="22.6640625" style="84" bestFit="1" customWidth="1"/>
    <col min="9986" max="9986" width="13.44140625" style="84" bestFit="1" customWidth="1"/>
    <col min="9987" max="9987" width="7.33203125" style="84" bestFit="1" customWidth="1"/>
    <col min="9988" max="9988" width="28.33203125" style="84" customWidth="1"/>
    <col min="9989" max="9989" width="12.6640625" style="84" bestFit="1" customWidth="1"/>
    <col min="9990" max="10240" width="22.88671875" style="84"/>
    <col min="10241" max="10241" width="22.6640625" style="84" bestFit="1" customWidth="1"/>
    <col min="10242" max="10242" width="13.44140625" style="84" bestFit="1" customWidth="1"/>
    <col min="10243" max="10243" width="7.33203125" style="84" bestFit="1" customWidth="1"/>
    <col min="10244" max="10244" width="28.33203125" style="84" customWidth="1"/>
    <col min="10245" max="10245" width="12.6640625" style="84" bestFit="1" customWidth="1"/>
    <col min="10246" max="10496" width="22.88671875" style="84"/>
    <col min="10497" max="10497" width="22.6640625" style="84" bestFit="1" customWidth="1"/>
    <col min="10498" max="10498" width="13.44140625" style="84" bestFit="1" customWidth="1"/>
    <col min="10499" max="10499" width="7.33203125" style="84" bestFit="1" customWidth="1"/>
    <col min="10500" max="10500" width="28.33203125" style="84" customWidth="1"/>
    <col min="10501" max="10501" width="12.6640625" style="84" bestFit="1" customWidth="1"/>
    <col min="10502" max="10752" width="22.88671875" style="84"/>
    <col min="10753" max="10753" width="22.6640625" style="84" bestFit="1" customWidth="1"/>
    <col min="10754" max="10754" width="13.44140625" style="84" bestFit="1" customWidth="1"/>
    <col min="10755" max="10755" width="7.33203125" style="84" bestFit="1" customWidth="1"/>
    <col min="10756" max="10756" width="28.33203125" style="84" customWidth="1"/>
    <col min="10757" max="10757" width="12.6640625" style="84" bestFit="1" customWidth="1"/>
    <col min="10758" max="11008" width="22.88671875" style="84"/>
    <col min="11009" max="11009" width="22.6640625" style="84" bestFit="1" customWidth="1"/>
    <col min="11010" max="11010" width="13.44140625" style="84" bestFit="1" customWidth="1"/>
    <col min="11011" max="11011" width="7.33203125" style="84" bestFit="1" customWidth="1"/>
    <col min="11012" max="11012" width="28.33203125" style="84" customWidth="1"/>
    <col min="11013" max="11013" width="12.6640625" style="84" bestFit="1" customWidth="1"/>
    <col min="11014" max="11264" width="22.88671875" style="84"/>
    <col min="11265" max="11265" width="22.6640625" style="84" bestFit="1" customWidth="1"/>
    <col min="11266" max="11266" width="13.44140625" style="84" bestFit="1" customWidth="1"/>
    <col min="11267" max="11267" width="7.33203125" style="84" bestFit="1" customWidth="1"/>
    <col min="11268" max="11268" width="28.33203125" style="84" customWidth="1"/>
    <col min="11269" max="11269" width="12.6640625" style="84" bestFit="1" customWidth="1"/>
    <col min="11270" max="11520" width="22.88671875" style="84"/>
    <col min="11521" max="11521" width="22.6640625" style="84" bestFit="1" customWidth="1"/>
    <col min="11522" max="11522" width="13.44140625" style="84" bestFit="1" customWidth="1"/>
    <col min="11523" max="11523" width="7.33203125" style="84" bestFit="1" customWidth="1"/>
    <col min="11524" max="11524" width="28.33203125" style="84" customWidth="1"/>
    <col min="11525" max="11525" width="12.6640625" style="84" bestFit="1" customWidth="1"/>
    <col min="11526" max="11776" width="22.88671875" style="84"/>
    <col min="11777" max="11777" width="22.6640625" style="84" bestFit="1" customWidth="1"/>
    <col min="11778" max="11778" width="13.44140625" style="84" bestFit="1" customWidth="1"/>
    <col min="11779" max="11779" width="7.33203125" style="84" bestFit="1" customWidth="1"/>
    <col min="11780" max="11780" width="28.33203125" style="84" customWidth="1"/>
    <col min="11781" max="11781" width="12.6640625" style="84" bestFit="1" customWidth="1"/>
    <col min="11782" max="12032" width="22.88671875" style="84"/>
    <col min="12033" max="12033" width="22.6640625" style="84" bestFit="1" customWidth="1"/>
    <col min="12034" max="12034" width="13.44140625" style="84" bestFit="1" customWidth="1"/>
    <col min="12035" max="12035" width="7.33203125" style="84" bestFit="1" customWidth="1"/>
    <col min="12036" max="12036" width="28.33203125" style="84" customWidth="1"/>
    <col min="12037" max="12037" width="12.6640625" style="84" bestFit="1" customWidth="1"/>
    <col min="12038" max="12288" width="22.88671875" style="84"/>
    <col min="12289" max="12289" width="22.6640625" style="84" bestFit="1" customWidth="1"/>
    <col min="12290" max="12290" width="13.44140625" style="84" bestFit="1" customWidth="1"/>
    <col min="12291" max="12291" width="7.33203125" style="84" bestFit="1" customWidth="1"/>
    <col min="12292" max="12292" width="28.33203125" style="84" customWidth="1"/>
    <col min="12293" max="12293" width="12.6640625" style="84" bestFit="1" customWidth="1"/>
    <col min="12294" max="12544" width="22.88671875" style="84"/>
    <col min="12545" max="12545" width="22.6640625" style="84" bestFit="1" customWidth="1"/>
    <col min="12546" max="12546" width="13.44140625" style="84" bestFit="1" customWidth="1"/>
    <col min="12547" max="12547" width="7.33203125" style="84" bestFit="1" customWidth="1"/>
    <col min="12548" max="12548" width="28.33203125" style="84" customWidth="1"/>
    <col min="12549" max="12549" width="12.6640625" style="84" bestFit="1" customWidth="1"/>
    <col min="12550" max="12800" width="22.88671875" style="84"/>
    <col min="12801" max="12801" width="22.6640625" style="84" bestFit="1" customWidth="1"/>
    <col min="12802" max="12802" width="13.44140625" style="84" bestFit="1" customWidth="1"/>
    <col min="12803" max="12803" width="7.33203125" style="84" bestFit="1" customWidth="1"/>
    <col min="12804" max="12804" width="28.33203125" style="84" customWidth="1"/>
    <col min="12805" max="12805" width="12.6640625" style="84" bestFit="1" customWidth="1"/>
    <col min="12806" max="13056" width="22.88671875" style="84"/>
    <col min="13057" max="13057" width="22.6640625" style="84" bestFit="1" customWidth="1"/>
    <col min="13058" max="13058" width="13.44140625" style="84" bestFit="1" customWidth="1"/>
    <col min="13059" max="13059" width="7.33203125" style="84" bestFit="1" customWidth="1"/>
    <col min="13060" max="13060" width="28.33203125" style="84" customWidth="1"/>
    <col min="13061" max="13061" width="12.6640625" style="84" bestFit="1" customWidth="1"/>
    <col min="13062" max="13312" width="22.88671875" style="84"/>
    <col min="13313" max="13313" width="22.6640625" style="84" bestFit="1" customWidth="1"/>
    <col min="13314" max="13314" width="13.44140625" style="84" bestFit="1" customWidth="1"/>
    <col min="13315" max="13315" width="7.33203125" style="84" bestFit="1" customWidth="1"/>
    <col min="13316" max="13316" width="28.33203125" style="84" customWidth="1"/>
    <col min="13317" max="13317" width="12.6640625" style="84" bestFit="1" customWidth="1"/>
    <col min="13318" max="13568" width="22.88671875" style="84"/>
    <col min="13569" max="13569" width="22.6640625" style="84" bestFit="1" customWidth="1"/>
    <col min="13570" max="13570" width="13.44140625" style="84" bestFit="1" customWidth="1"/>
    <col min="13571" max="13571" width="7.33203125" style="84" bestFit="1" customWidth="1"/>
    <col min="13572" max="13572" width="28.33203125" style="84" customWidth="1"/>
    <col min="13573" max="13573" width="12.6640625" style="84" bestFit="1" customWidth="1"/>
    <col min="13574" max="13824" width="22.88671875" style="84"/>
    <col min="13825" max="13825" width="22.6640625" style="84" bestFit="1" customWidth="1"/>
    <col min="13826" max="13826" width="13.44140625" style="84" bestFit="1" customWidth="1"/>
    <col min="13827" max="13827" width="7.33203125" style="84" bestFit="1" customWidth="1"/>
    <col min="13828" max="13828" width="28.33203125" style="84" customWidth="1"/>
    <col min="13829" max="13829" width="12.6640625" style="84" bestFit="1" customWidth="1"/>
    <col min="13830" max="14080" width="22.88671875" style="84"/>
    <col min="14081" max="14081" width="22.6640625" style="84" bestFit="1" customWidth="1"/>
    <col min="14082" max="14082" width="13.44140625" style="84" bestFit="1" customWidth="1"/>
    <col min="14083" max="14083" width="7.33203125" style="84" bestFit="1" customWidth="1"/>
    <col min="14084" max="14084" width="28.33203125" style="84" customWidth="1"/>
    <col min="14085" max="14085" width="12.6640625" style="84" bestFit="1" customWidth="1"/>
    <col min="14086" max="14336" width="22.88671875" style="84"/>
    <col min="14337" max="14337" width="22.6640625" style="84" bestFit="1" customWidth="1"/>
    <col min="14338" max="14338" width="13.44140625" style="84" bestFit="1" customWidth="1"/>
    <col min="14339" max="14339" width="7.33203125" style="84" bestFit="1" customWidth="1"/>
    <col min="14340" max="14340" width="28.33203125" style="84" customWidth="1"/>
    <col min="14341" max="14341" width="12.6640625" style="84" bestFit="1" customWidth="1"/>
    <col min="14342" max="14592" width="22.88671875" style="84"/>
    <col min="14593" max="14593" width="22.6640625" style="84" bestFit="1" customWidth="1"/>
    <col min="14594" max="14594" width="13.44140625" style="84" bestFit="1" customWidth="1"/>
    <col min="14595" max="14595" width="7.33203125" style="84" bestFit="1" customWidth="1"/>
    <col min="14596" max="14596" width="28.33203125" style="84" customWidth="1"/>
    <col min="14597" max="14597" width="12.6640625" style="84" bestFit="1" customWidth="1"/>
    <col min="14598" max="14848" width="22.88671875" style="84"/>
    <col min="14849" max="14849" width="22.6640625" style="84" bestFit="1" customWidth="1"/>
    <col min="14850" max="14850" width="13.44140625" style="84" bestFit="1" customWidth="1"/>
    <col min="14851" max="14851" width="7.33203125" style="84" bestFit="1" customWidth="1"/>
    <col min="14852" max="14852" width="28.33203125" style="84" customWidth="1"/>
    <col min="14853" max="14853" width="12.6640625" style="84" bestFit="1" customWidth="1"/>
    <col min="14854" max="15104" width="22.88671875" style="84"/>
    <col min="15105" max="15105" width="22.6640625" style="84" bestFit="1" customWidth="1"/>
    <col min="15106" max="15106" width="13.44140625" style="84" bestFit="1" customWidth="1"/>
    <col min="15107" max="15107" width="7.33203125" style="84" bestFit="1" customWidth="1"/>
    <col min="15108" max="15108" width="28.33203125" style="84" customWidth="1"/>
    <col min="15109" max="15109" width="12.6640625" style="84" bestFit="1" customWidth="1"/>
    <col min="15110" max="15360" width="22.88671875" style="84"/>
    <col min="15361" max="15361" width="22.6640625" style="84" bestFit="1" customWidth="1"/>
    <col min="15362" max="15362" width="13.44140625" style="84" bestFit="1" customWidth="1"/>
    <col min="15363" max="15363" width="7.33203125" style="84" bestFit="1" customWidth="1"/>
    <col min="15364" max="15364" width="28.33203125" style="84" customWidth="1"/>
    <col min="15365" max="15365" width="12.6640625" style="84" bestFit="1" customWidth="1"/>
    <col min="15366" max="15616" width="22.88671875" style="84"/>
    <col min="15617" max="15617" width="22.6640625" style="84" bestFit="1" customWidth="1"/>
    <col min="15618" max="15618" width="13.44140625" style="84" bestFit="1" customWidth="1"/>
    <col min="15619" max="15619" width="7.33203125" style="84" bestFit="1" customWidth="1"/>
    <col min="15620" max="15620" width="28.33203125" style="84" customWidth="1"/>
    <col min="15621" max="15621" width="12.6640625" style="84" bestFit="1" customWidth="1"/>
    <col min="15622" max="15872" width="22.88671875" style="84"/>
    <col min="15873" max="15873" width="22.6640625" style="84" bestFit="1" customWidth="1"/>
    <col min="15874" max="15874" width="13.44140625" style="84" bestFit="1" customWidth="1"/>
    <col min="15875" max="15875" width="7.33203125" style="84" bestFit="1" customWidth="1"/>
    <col min="15876" max="15876" width="28.33203125" style="84" customWidth="1"/>
    <col min="15877" max="15877" width="12.6640625" style="84" bestFit="1" customWidth="1"/>
    <col min="15878" max="16128" width="22.88671875" style="84"/>
    <col min="16129" max="16129" width="22.6640625" style="84" bestFit="1" customWidth="1"/>
    <col min="16130" max="16130" width="13.44140625" style="84" bestFit="1" customWidth="1"/>
    <col min="16131" max="16131" width="7.33203125" style="84" bestFit="1" customWidth="1"/>
    <col min="16132" max="16132" width="28.33203125" style="84" customWidth="1"/>
    <col min="16133" max="16133" width="12.6640625" style="84" bestFit="1" customWidth="1"/>
    <col min="16134" max="16384" width="22.88671875" style="84"/>
  </cols>
  <sheetData>
    <row r="1" spans="1:5" x14ac:dyDescent="0.25">
      <c r="A1" s="189" t="s">
        <v>305</v>
      </c>
      <c r="B1" s="191"/>
      <c r="D1" s="84">
        <f>-B7/(1+B3)^B6</f>
        <v>252572.46819458736</v>
      </c>
    </row>
    <row r="2" spans="1:5" x14ac:dyDescent="0.25">
      <c r="A2" s="189" t="s">
        <v>136</v>
      </c>
      <c r="B2" s="186">
        <v>7.0000000000000007E-2</v>
      </c>
    </row>
    <row r="3" spans="1:5" x14ac:dyDescent="0.25">
      <c r="A3" s="189" t="s">
        <v>137</v>
      </c>
      <c r="B3" s="188">
        <f>B2/B5</f>
        <v>3.5000000000000003E-2</v>
      </c>
    </row>
    <row r="4" spans="1:5" x14ac:dyDescent="0.25">
      <c r="A4" s="189" t="s">
        <v>10</v>
      </c>
      <c r="B4" s="187">
        <v>20</v>
      </c>
    </row>
    <row r="5" spans="1:5" x14ac:dyDescent="0.25">
      <c r="A5" s="189" t="s">
        <v>138</v>
      </c>
      <c r="B5" s="187">
        <v>2</v>
      </c>
    </row>
    <row r="6" spans="1:5" x14ac:dyDescent="0.25">
      <c r="A6" s="189" t="s">
        <v>12</v>
      </c>
      <c r="B6" s="188">
        <f>B4*B5</f>
        <v>40</v>
      </c>
    </row>
    <row r="7" spans="1:5" x14ac:dyDescent="0.25">
      <c r="A7" s="189" t="s">
        <v>304</v>
      </c>
      <c r="B7" s="190">
        <v>-1000000</v>
      </c>
      <c r="E7" s="96"/>
    </row>
    <row r="9" spans="1:5" x14ac:dyDescent="0.25">
      <c r="A9" s="193" t="s">
        <v>48</v>
      </c>
      <c r="B9" s="193" t="s">
        <v>306</v>
      </c>
      <c r="C9" s="193" t="s">
        <v>146</v>
      </c>
    </row>
    <row r="10" spans="1:5" customFormat="1" ht="14.4" x14ac:dyDescent="0.3">
      <c r="A10" s="1"/>
      <c r="B10" s="1"/>
      <c r="C10" s="18"/>
    </row>
    <row r="11" spans="1:5" customFormat="1" ht="14.4" x14ac:dyDescent="0.3">
      <c r="A11" s="1"/>
      <c r="B11" s="18"/>
      <c r="C11" s="18"/>
    </row>
    <row r="12" spans="1:5" customFormat="1" ht="14.4" x14ac:dyDescent="0.3">
      <c r="A12" s="1"/>
      <c r="B12" s="18"/>
      <c r="C12" s="18"/>
    </row>
    <row r="13" spans="1:5" customFormat="1" ht="14.4" x14ac:dyDescent="0.3">
      <c r="A13" s="1"/>
      <c r="B13" s="18"/>
      <c r="C13" s="18"/>
    </row>
    <row r="14" spans="1:5" customFormat="1" ht="14.4" x14ac:dyDescent="0.3">
      <c r="A14" s="1"/>
      <c r="B14" s="18"/>
      <c r="C14" s="18"/>
    </row>
    <row r="15" spans="1:5" customFormat="1" ht="14.4" x14ac:dyDescent="0.3">
      <c r="A15" s="1"/>
      <c r="B15" s="18"/>
      <c r="C15" s="18"/>
    </row>
    <row r="16" spans="1:5" customFormat="1" ht="14.4" x14ac:dyDescent="0.3">
      <c r="A16" s="1"/>
      <c r="B16" s="18"/>
      <c r="C16" s="18"/>
    </row>
    <row r="17" spans="1:3" customFormat="1" ht="14.4" x14ac:dyDescent="0.3">
      <c r="A17" s="1"/>
      <c r="B17" s="18"/>
      <c r="C17" s="18"/>
    </row>
    <row r="18" spans="1:3" customFormat="1" ht="14.4" x14ac:dyDescent="0.3">
      <c r="A18" s="1"/>
      <c r="B18" s="18"/>
      <c r="C18" s="18"/>
    </row>
    <row r="19" spans="1:3" customFormat="1" ht="14.4" x14ac:dyDescent="0.3">
      <c r="A19" s="1"/>
      <c r="B19" s="18"/>
      <c r="C19" s="18"/>
    </row>
    <row r="20" spans="1:3" customFormat="1" ht="14.4" x14ac:dyDescent="0.3">
      <c r="A20" s="1"/>
      <c r="B20" s="18"/>
      <c r="C20" s="18"/>
    </row>
    <row r="21" spans="1:3" customFormat="1" ht="14.4" x14ac:dyDescent="0.3">
      <c r="A21" s="1"/>
      <c r="B21" s="18"/>
      <c r="C21" s="18"/>
    </row>
    <row r="22" spans="1:3" customFormat="1" ht="14.4" x14ac:dyDescent="0.3">
      <c r="A22" s="1"/>
      <c r="B22" s="18"/>
      <c r="C22" s="18"/>
    </row>
    <row r="23" spans="1:3" customFormat="1" ht="14.4" x14ac:dyDescent="0.3">
      <c r="A23" s="1"/>
      <c r="B23" s="18"/>
      <c r="C23" s="18"/>
    </row>
    <row r="24" spans="1:3" customFormat="1" ht="14.4" x14ac:dyDescent="0.3">
      <c r="A24" s="1"/>
      <c r="B24" s="18"/>
      <c r="C24" s="18"/>
    </row>
    <row r="25" spans="1:3" customFormat="1" ht="14.4" x14ac:dyDescent="0.3">
      <c r="A25" s="1"/>
      <c r="B25" s="18"/>
      <c r="C25" s="18"/>
    </row>
    <row r="26" spans="1:3" customFormat="1" ht="14.4" x14ac:dyDescent="0.3">
      <c r="A26" s="1"/>
      <c r="B26" s="18"/>
      <c r="C26" s="18"/>
    </row>
    <row r="27" spans="1:3" customFormat="1" ht="14.4" x14ac:dyDescent="0.3">
      <c r="A27" s="1"/>
      <c r="B27" s="18"/>
      <c r="C27" s="18"/>
    </row>
    <row r="28" spans="1:3" customFormat="1" ht="14.4" x14ac:dyDescent="0.3">
      <c r="A28" s="1"/>
      <c r="B28" s="18"/>
      <c r="C28" s="18"/>
    </row>
    <row r="29" spans="1:3" customFormat="1" ht="14.4" x14ac:dyDescent="0.3">
      <c r="A29" s="1"/>
      <c r="B29" s="18"/>
      <c r="C29" s="18"/>
    </row>
    <row r="30" spans="1:3" customFormat="1" ht="14.4" x14ac:dyDescent="0.3">
      <c r="A30" s="1"/>
      <c r="B30" s="18"/>
      <c r="C30" s="18"/>
    </row>
    <row r="31" spans="1:3" customFormat="1" ht="14.4" x14ac:dyDescent="0.3">
      <c r="A31" s="1"/>
      <c r="B31" s="18"/>
      <c r="C31" s="18"/>
    </row>
    <row r="32" spans="1:3" customFormat="1" ht="14.4" x14ac:dyDescent="0.3">
      <c r="A32" s="1"/>
      <c r="B32" s="18"/>
      <c r="C32" s="18"/>
    </row>
    <row r="33" spans="1:3" customFormat="1" ht="14.4" x14ac:dyDescent="0.3">
      <c r="A33" s="1"/>
      <c r="B33" s="18"/>
      <c r="C33" s="18"/>
    </row>
    <row r="34" spans="1:3" customFormat="1" ht="14.4" x14ac:dyDescent="0.3">
      <c r="A34" s="1"/>
      <c r="B34" s="18"/>
      <c r="C34" s="18"/>
    </row>
    <row r="35" spans="1:3" customFormat="1" ht="14.4" x14ac:dyDescent="0.3">
      <c r="A35" s="1"/>
      <c r="B35" s="18"/>
      <c r="C35" s="18"/>
    </row>
    <row r="36" spans="1:3" customFormat="1" ht="14.4" x14ac:dyDescent="0.3">
      <c r="A36" s="1"/>
      <c r="B36" s="18"/>
      <c r="C36" s="18"/>
    </row>
    <row r="37" spans="1:3" customFormat="1" ht="14.4" x14ac:dyDescent="0.3">
      <c r="A37" s="1"/>
      <c r="B37" s="18"/>
      <c r="C37" s="18"/>
    </row>
    <row r="38" spans="1:3" customFormat="1" ht="14.4" x14ac:dyDescent="0.3">
      <c r="A38" s="1"/>
      <c r="B38" s="18"/>
      <c r="C38" s="18"/>
    </row>
    <row r="39" spans="1:3" customFormat="1" ht="14.4" x14ac:dyDescent="0.3">
      <c r="A39" s="1"/>
      <c r="B39" s="18"/>
      <c r="C39" s="18"/>
    </row>
    <row r="40" spans="1:3" customFormat="1" ht="14.4" x14ac:dyDescent="0.3">
      <c r="A40" s="1"/>
      <c r="B40" s="18"/>
      <c r="C40" s="18"/>
    </row>
    <row r="41" spans="1:3" customFormat="1" ht="14.4" x14ac:dyDescent="0.3">
      <c r="A41" s="1"/>
      <c r="B41" s="18"/>
      <c r="C41" s="18"/>
    </row>
    <row r="42" spans="1:3" customFormat="1" ht="14.4" x14ac:dyDescent="0.3">
      <c r="A42" s="1"/>
      <c r="B42" s="18"/>
      <c r="C42" s="18"/>
    </row>
    <row r="43" spans="1:3" customFormat="1" ht="14.4" x14ac:dyDescent="0.3">
      <c r="A43" s="1"/>
      <c r="B43" s="18"/>
      <c r="C43" s="18"/>
    </row>
    <row r="44" spans="1:3" customFormat="1" ht="14.4" x14ac:dyDescent="0.3">
      <c r="A44" s="1"/>
      <c r="B44" s="18"/>
      <c r="C44" s="18"/>
    </row>
    <row r="45" spans="1:3" customFormat="1" ht="14.4" x14ac:dyDescent="0.3">
      <c r="A45" s="1"/>
      <c r="B45" s="18"/>
      <c r="C45" s="18"/>
    </row>
    <row r="46" spans="1:3" customFormat="1" ht="14.4" x14ac:dyDescent="0.3">
      <c r="A46" s="1"/>
      <c r="B46" s="18"/>
      <c r="C46" s="18"/>
    </row>
    <row r="47" spans="1:3" customFormat="1" ht="14.4" x14ac:dyDescent="0.3">
      <c r="A47" s="1"/>
      <c r="B47" s="18"/>
      <c r="C47" s="18"/>
    </row>
    <row r="48" spans="1:3" customFormat="1" ht="14.4" x14ac:dyDescent="0.3">
      <c r="A48" s="1"/>
      <c r="B48" s="18"/>
      <c r="C48" s="18"/>
    </row>
    <row r="49" spans="1:3" customFormat="1" ht="14.4" x14ac:dyDescent="0.3">
      <c r="A49" s="1"/>
      <c r="B49" s="18"/>
      <c r="C49" s="18"/>
    </row>
    <row r="50" spans="1:3" customFormat="1" ht="14.4" x14ac:dyDescent="0.3">
      <c r="A50" s="1"/>
      <c r="B50" s="18"/>
      <c r="C50" s="18"/>
    </row>
    <row r="51" spans="1:3" customFormat="1" ht="14.4" x14ac:dyDescent="0.3"/>
    <row r="52" spans="1:3" customFormat="1" ht="14.4" x14ac:dyDescent="0.3"/>
    <row r="53" spans="1:3" customFormat="1" ht="14.4" x14ac:dyDescent="0.3"/>
  </sheetData>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3"/>
  <sheetViews>
    <sheetView zoomScale="145" zoomScaleNormal="145" workbookViewId="0">
      <selection activeCell="B1" sqref="B1"/>
    </sheetView>
  </sheetViews>
  <sheetFormatPr defaultColWidth="22.88671875" defaultRowHeight="13.2" x14ac:dyDescent="0.25"/>
  <cols>
    <col min="1" max="1" width="24.77734375" style="84" customWidth="1"/>
    <col min="2" max="2" width="14.21875" style="84" bestFit="1" customWidth="1"/>
    <col min="3" max="3" width="15.77734375" style="84" customWidth="1"/>
    <col min="4" max="4" width="28.33203125" style="84" customWidth="1"/>
    <col min="5" max="5" width="12.6640625" style="84" bestFit="1" customWidth="1"/>
    <col min="6" max="256" width="22.88671875" style="84"/>
    <col min="257" max="257" width="22.6640625" style="84" bestFit="1" customWidth="1"/>
    <col min="258" max="258" width="13.44140625" style="84" bestFit="1" customWidth="1"/>
    <col min="259" max="259" width="7.33203125" style="84" bestFit="1" customWidth="1"/>
    <col min="260" max="260" width="28.33203125" style="84" customWidth="1"/>
    <col min="261" max="261" width="12.6640625" style="84" bestFit="1" customWidth="1"/>
    <col min="262" max="512" width="22.88671875" style="84"/>
    <col min="513" max="513" width="22.6640625" style="84" bestFit="1" customWidth="1"/>
    <col min="514" max="514" width="13.44140625" style="84" bestFit="1" customWidth="1"/>
    <col min="515" max="515" width="7.33203125" style="84" bestFit="1" customWidth="1"/>
    <col min="516" max="516" width="28.33203125" style="84" customWidth="1"/>
    <col min="517" max="517" width="12.6640625" style="84" bestFit="1" customWidth="1"/>
    <col min="518" max="768" width="22.88671875" style="84"/>
    <col min="769" max="769" width="22.6640625" style="84" bestFit="1" customWidth="1"/>
    <col min="770" max="770" width="13.44140625" style="84" bestFit="1" customWidth="1"/>
    <col min="771" max="771" width="7.33203125" style="84" bestFit="1" customWidth="1"/>
    <col min="772" max="772" width="28.33203125" style="84" customWidth="1"/>
    <col min="773" max="773" width="12.6640625" style="84" bestFit="1" customWidth="1"/>
    <col min="774" max="1024" width="22.88671875" style="84"/>
    <col min="1025" max="1025" width="22.6640625" style="84" bestFit="1" customWidth="1"/>
    <col min="1026" max="1026" width="13.44140625" style="84" bestFit="1" customWidth="1"/>
    <col min="1027" max="1027" width="7.33203125" style="84" bestFit="1" customWidth="1"/>
    <col min="1028" max="1028" width="28.33203125" style="84" customWidth="1"/>
    <col min="1029" max="1029" width="12.6640625" style="84" bestFit="1" customWidth="1"/>
    <col min="1030" max="1280" width="22.88671875" style="84"/>
    <col min="1281" max="1281" width="22.6640625" style="84" bestFit="1" customWidth="1"/>
    <col min="1282" max="1282" width="13.44140625" style="84" bestFit="1" customWidth="1"/>
    <col min="1283" max="1283" width="7.33203125" style="84" bestFit="1" customWidth="1"/>
    <col min="1284" max="1284" width="28.33203125" style="84" customWidth="1"/>
    <col min="1285" max="1285" width="12.6640625" style="84" bestFit="1" customWidth="1"/>
    <col min="1286" max="1536" width="22.88671875" style="84"/>
    <col min="1537" max="1537" width="22.6640625" style="84" bestFit="1" customWidth="1"/>
    <col min="1538" max="1538" width="13.44140625" style="84" bestFit="1" customWidth="1"/>
    <col min="1539" max="1539" width="7.33203125" style="84" bestFit="1" customWidth="1"/>
    <col min="1540" max="1540" width="28.33203125" style="84" customWidth="1"/>
    <col min="1541" max="1541" width="12.6640625" style="84" bestFit="1" customWidth="1"/>
    <col min="1542" max="1792" width="22.88671875" style="84"/>
    <col min="1793" max="1793" width="22.6640625" style="84" bestFit="1" customWidth="1"/>
    <col min="1794" max="1794" width="13.44140625" style="84" bestFit="1" customWidth="1"/>
    <col min="1795" max="1795" width="7.33203125" style="84" bestFit="1" customWidth="1"/>
    <col min="1796" max="1796" width="28.33203125" style="84" customWidth="1"/>
    <col min="1797" max="1797" width="12.6640625" style="84" bestFit="1" customWidth="1"/>
    <col min="1798" max="2048" width="22.88671875" style="84"/>
    <col min="2049" max="2049" width="22.6640625" style="84" bestFit="1" customWidth="1"/>
    <col min="2050" max="2050" width="13.44140625" style="84" bestFit="1" customWidth="1"/>
    <col min="2051" max="2051" width="7.33203125" style="84" bestFit="1" customWidth="1"/>
    <col min="2052" max="2052" width="28.33203125" style="84" customWidth="1"/>
    <col min="2053" max="2053" width="12.6640625" style="84" bestFit="1" customWidth="1"/>
    <col min="2054" max="2304" width="22.88671875" style="84"/>
    <col min="2305" max="2305" width="22.6640625" style="84" bestFit="1" customWidth="1"/>
    <col min="2306" max="2306" width="13.44140625" style="84" bestFit="1" customWidth="1"/>
    <col min="2307" max="2307" width="7.33203125" style="84" bestFit="1" customWidth="1"/>
    <col min="2308" max="2308" width="28.33203125" style="84" customWidth="1"/>
    <col min="2309" max="2309" width="12.6640625" style="84" bestFit="1" customWidth="1"/>
    <col min="2310" max="2560" width="22.88671875" style="84"/>
    <col min="2561" max="2561" width="22.6640625" style="84" bestFit="1" customWidth="1"/>
    <col min="2562" max="2562" width="13.44140625" style="84" bestFit="1" customWidth="1"/>
    <col min="2563" max="2563" width="7.33203125" style="84" bestFit="1" customWidth="1"/>
    <col min="2564" max="2564" width="28.33203125" style="84" customWidth="1"/>
    <col min="2565" max="2565" width="12.6640625" style="84" bestFit="1" customWidth="1"/>
    <col min="2566" max="2816" width="22.88671875" style="84"/>
    <col min="2817" max="2817" width="22.6640625" style="84" bestFit="1" customWidth="1"/>
    <col min="2818" max="2818" width="13.44140625" style="84" bestFit="1" customWidth="1"/>
    <col min="2819" max="2819" width="7.33203125" style="84" bestFit="1" customWidth="1"/>
    <col min="2820" max="2820" width="28.33203125" style="84" customWidth="1"/>
    <col min="2821" max="2821" width="12.6640625" style="84" bestFit="1" customWidth="1"/>
    <col min="2822" max="3072" width="22.88671875" style="84"/>
    <col min="3073" max="3073" width="22.6640625" style="84" bestFit="1" customWidth="1"/>
    <col min="3074" max="3074" width="13.44140625" style="84" bestFit="1" customWidth="1"/>
    <col min="3075" max="3075" width="7.33203125" style="84" bestFit="1" customWidth="1"/>
    <col min="3076" max="3076" width="28.33203125" style="84" customWidth="1"/>
    <col min="3077" max="3077" width="12.6640625" style="84" bestFit="1" customWidth="1"/>
    <col min="3078" max="3328" width="22.88671875" style="84"/>
    <col min="3329" max="3329" width="22.6640625" style="84" bestFit="1" customWidth="1"/>
    <col min="3330" max="3330" width="13.44140625" style="84" bestFit="1" customWidth="1"/>
    <col min="3331" max="3331" width="7.33203125" style="84" bestFit="1" customWidth="1"/>
    <col min="3332" max="3332" width="28.33203125" style="84" customWidth="1"/>
    <col min="3333" max="3333" width="12.6640625" style="84" bestFit="1" customWidth="1"/>
    <col min="3334" max="3584" width="22.88671875" style="84"/>
    <col min="3585" max="3585" width="22.6640625" style="84" bestFit="1" customWidth="1"/>
    <col min="3586" max="3586" width="13.44140625" style="84" bestFit="1" customWidth="1"/>
    <col min="3587" max="3587" width="7.33203125" style="84" bestFit="1" customWidth="1"/>
    <col min="3588" max="3588" width="28.33203125" style="84" customWidth="1"/>
    <col min="3589" max="3589" width="12.6640625" style="84" bestFit="1" customWidth="1"/>
    <col min="3590" max="3840" width="22.88671875" style="84"/>
    <col min="3841" max="3841" width="22.6640625" style="84" bestFit="1" customWidth="1"/>
    <col min="3842" max="3842" width="13.44140625" style="84" bestFit="1" customWidth="1"/>
    <col min="3843" max="3843" width="7.33203125" style="84" bestFit="1" customWidth="1"/>
    <col min="3844" max="3844" width="28.33203125" style="84" customWidth="1"/>
    <col min="3845" max="3845" width="12.6640625" style="84" bestFit="1" customWidth="1"/>
    <col min="3846" max="4096" width="22.88671875" style="84"/>
    <col min="4097" max="4097" width="22.6640625" style="84" bestFit="1" customWidth="1"/>
    <col min="4098" max="4098" width="13.44140625" style="84" bestFit="1" customWidth="1"/>
    <col min="4099" max="4099" width="7.33203125" style="84" bestFit="1" customWidth="1"/>
    <col min="4100" max="4100" width="28.33203125" style="84" customWidth="1"/>
    <col min="4101" max="4101" width="12.6640625" style="84" bestFit="1" customWidth="1"/>
    <col min="4102" max="4352" width="22.88671875" style="84"/>
    <col min="4353" max="4353" width="22.6640625" style="84" bestFit="1" customWidth="1"/>
    <col min="4354" max="4354" width="13.44140625" style="84" bestFit="1" customWidth="1"/>
    <col min="4355" max="4355" width="7.33203125" style="84" bestFit="1" customWidth="1"/>
    <col min="4356" max="4356" width="28.33203125" style="84" customWidth="1"/>
    <col min="4357" max="4357" width="12.6640625" style="84" bestFit="1" customWidth="1"/>
    <col min="4358" max="4608" width="22.88671875" style="84"/>
    <col min="4609" max="4609" width="22.6640625" style="84" bestFit="1" customWidth="1"/>
    <col min="4610" max="4610" width="13.44140625" style="84" bestFit="1" customWidth="1"/>
    <col min="4611" max="4611" width="7.33203125" style="84" bestFit="1" customWidth="1"/>
    <col min="4612" max="4612" width="28.33203125" style="84" customWidth="1"/>
    <col min="4613" max="4613" width="12.6640625" style="84" bestFit="1" customWidth="1"/>
    <col min="4614" max="4864" width="22.88671875" style="84"/>
    <col min="4865" max="4865" width="22.6640625" style="84" bestFit="1" customWidth="1"/>
    <col min="4866" max="4866" width="13.44140625" style="84" bestFit="1" customWidth="1"/>
    <col min="4867" max="4867" width="7.33203125" style="84" bestFit="1" customWidth="1"/>
    <col min="4868" max="4868" width="28.33203125" style="84" customWidth="1"/>
    <col min="4869" max="4869" width="12.6640625" style="84" bestFit="1" customWidth="1"/>
    <col min="4870" max="5120" width="22.88671875" style="84"/>
    <col min="5121" max="5121" width="22.6640625" style="84" bestFit="1" customWidth="1"/>
    <col min="5122" max="5122" width="13.44140625" style="84" bestFit="1" customWidth="1"/>
    <col min="5123" max="5123" width="7.33203125" style="84" bestFit="1" customWidth="1"/>
    <col min="5124" max="5124" width="28.33203125" style="84" customWidth="1"/>
    <col min="5125" max="5125" width="12.6640625" style="84" bestFit="1" customWidth="1"/>
    <col min="5126" max="5376" width="22.88671875" style="84"/>
    <col min="5377" max="5377" width="22.6640625" style="84" bestFit="1" customWidth="1"/>
    <col min="5378" max="5378" width="13.44140625" style="84" bestFit="1" customWidth="1"/>
    <col min="5379" max="5379" width="7.33203125" style="84" bestFit="1" customWidth="1"/>
    <col min="5380" max="5380" width="28.33203125" style="84" customWidth="1"/>
    <col min="5381" max="5381" width="12.6640625" style="84" bestFit="1" customWidth="1"/>
    <col min="5382" max="5632" width="22.88671875" style="84"/>
    <col min="5633" max="5633" width="22.6640625" style="84" bestFit="1" customWidth="1"/>
    <col min="5634" max="5634" width="13.44140625" style="84" bestFit="1" customWidth="1"/>
    <col min="5635" max="5635" width="7.33203125" style="84" bestFit="1" customWidth="1"/>
    <col min="5636" max="5636" width="28.33203125" style="84" customWidth="1"/>
    <col min="5637" max="5637" width="12.6640625" style="84" bestFit="1" customWidth="1"/>
    <col min="5638" max="5888" width="22.88671875" style="84"/>
    <col min="5889" max="5889" width="22.6640625" style="84" bestFit="1" customWidth="1"/>
    <col min="5890" max="5890" width="13.44140625" style="84" bestFit="1" customWidth="1"/>
    <col min="5891" max="5891" width="7.33203125" style="84" bestFit="1" customWidth="1"/>
    <col min="5892" max="5892" width="28.33203125" style="84" customWidth="1"/>
    <col min="5893" max="5893" width="12.6640625" style="84" bestFit="1" customWidth="1"/>
    <col min="5894" max="6144" width="22.88671875" style="84"/>
    <col min="6145" max="6145" width="22.6640625" style="84" bestFit="1" customWidth="1"/>
    <col min="6146" max="6146" width="13.44140625" style="84" bestFit="1" customWidth="1"/>
    <col min="6147" max="6147" width="7.33203125" style="84" bestFit="1" customWidth="1"/>
    <col min="6148" max="6148" width="28.33203125" style="84" customWidth="1"/>
    <col min="6149" max="6149" width="12.6640625" style="84" bestFit="1" customWidth="1"/>
    <col min="6150" max="6400" width="22.88671875" style="84"/>
    <col min="6401" max="6401" width="22.6640625" style="84" bestFit="1" customWidth="1"/>
    <col min="6402" max="6402" width="13.44140625" style="84" bestFit="1" customWidth="1"/>
    <col min="6403" max="6403" width="7.33203125" style="84" bestFit="1" customWidth="1"/>
    <col min="6404" max="6404" width="28.33203125" style="84" customWidth="1"/>
    <col min="6405" max="6405" width="12.6640625" style="84" bestFit="1" customWidth="1"/>
    <col min="6406" max="6656" width="22.88671875" style="84"/>
    <col min="6657" max="6657" width="22.6640625" style="84" bestFit="1" customWidth="1"/>
    <col min="6658" max="6658" width="13.44140625" style="84" bestFit="1" customWidth="1"/>
    <col min="6659" max="6659" width="7.33203125" style="84" bestFit="1" customWidth="1"/>
    <col min="6660" max="6660" width="28.33203125" style="84" customWidth="1"/>
    <col min="6661" max="6661" width="12.6640625" style="84" bestFit="1" customWidth="1"/>
    <col min="6662" max="6912" width="22.88671875" style="84"/>
    <col min="6913" max="6913" width="22.6640625" style="84" bestFit="1" customWidth="1"/>
    <col min="6914" max="6914" width="13.44140625" style="84" bestFit="1" customWidth="1"/>
    <col min="6915" max="6915" width="7.33203125" style="84" bestFit="1" customWidth="1"/>
    <col min="6916" max="6916" width="28.33203125" style="84" customWidth="1"/>
    <col min="6917" max="6917" width="12.6640625" style="84" bestFit="1" customWidth="1"/>
    <col min="6918" max="7168" width="22.88671875" style="84"/>
    <col min="7169" max="7169" width="22.6640625" style="84" bestFit="1" customWidth="1"/>
    <col min="7170" max="7170" width="13.44140625" style="84" bestFit="1" customWidth="1"/>
    <col min="7171" max="7171" width="7.33203125" style="84" bestFit="1" customWidth="1"/>
    <col min="7172" max="7172" width="28.33203125" style="84" customWidth="1"/>
    <col min="7173" max="7173" width="12.6640625" style="84" bestFit="1" customWidth="1"/>
    <col min="7174" max="7424" width="22.88671875" style="84"/>
    <col min="7425" max="7425" width="22.6640625" style="84" bestFit="1" customWidth="1"/>
    <col min="7426" max="7426" width="13.44140625" style="84" bestFit="1" customWidth="1"/>
    <col min="7427" max="7427" width="7.33203125" style="84" bestFit="1" customWidth="1"/>
    <col min="7428" max="7428" width="28.33203125" style="84" customWidth="1"/>
    <col min="7429" max="7429" width="12.6640625" style="84" bestFit="1" customWidth="1"/>
    <col min="7430" max="7680" width="22.88671875" style="84"/>
    <col min="7681" max="7681" width="22.6640625" style="84" bestFit="1" customWidth="1"/>
    <col min="7682" max="7682" width="13.44140625" style="84" bestFit="1" customWidth="1"/>
    <col min="7683" max="7683" width="7.33203125" style="84" bestFit="1" customWidth="1"/>
    <col min="7684" max="7684" width="28.33203125" style="84" customWidth="1"/>
    <col min="7685" max="7685" width="12.6640625" style="84" bestFit="1" customWidth="1"/>
    <col min="7686" max="7936" width="22.88671875" style="84"/>
    <col min="7937" max="7937" width="22.6640625" style="84" bestFit="1" customWidth="1"/>
    <col min="7938" max="7938" width="13.44140625" style="84" bestFit="1" customWidth="1"/>
    <col min="7939" max="7939" width="7.33203125" style="84" bestFit="1" customWidth="1"/>
    <col min="7940" max="7940" width="28.33203125" style="84" customWidth="1"/>
    <col min="7941" max="7941" width="12.6640625" style="84" bestFit="1" customWidth="1"/>
    <col min="7942" max="8192" width="22.88671875" style="84"/>
    <col min="8193" max="8193" width="22.6640625" style="84" bestFit="1" customWidth="1"/>
    <col min="8194" max="8194" width="13.44140625" style="84" bestFit="1" customWidth="1"/>
    <col min="8195" max="8195" width="7.33203125" style="84" bestFit="1" customWidth="1"/>
    <col min="8196" max="8196" width="28.33203125" style="84" customWidth="1"/>
    <col min="8197" max="8197" width="12.6640625" style="84" bestFit="1" customWidth="1"/>
    <col min="8198" max="8448" width="22.88671875" style="84"/>
    <col min="8449" max="8449" width="22.6640625" style="84" bestFit="1" customWidth="1"/>
    <col min="8450" max="8450" width="13.44140625" style="84" bestFit="1" customWidth="1"/>
    <col min="8451" max="8451" width="7.33203125" style="84" bestFit="1" customWidth="1"/>
    <col min="8452" max="8452" width="28.33203125" style="84" customWidth="1"/>
    <col min="8453" max="8453" width="12.6640625" style="84" bestFit="1" customWidth="1"/>
    <col min="8454" max="8704" width="22.88671875" style="84"/>
    <col min="8705" max="8705" width="22.6640625" style="84" bestFit="1" customWidth="1"/>
    <col min="8706" max="8706" width="13.44140625" style="84" bestFit="1" customWidth="1"/>
    <col min="8707" max="8707" width="7.33203125" style="84" bestFit="1" customWidth="1"/>
    <col min="8708" max="8708" width="28.33203125" style="84" customWidth="1"/>
    <col min="8709" max="8709" width="12.6640625" style="84" bestFit="1" customWidth="1"/>
    <col min="8710" max="8960" width="22.88671875" style="84"/>
    <col min="8961" max="8961" width="22.6640625" style="84" bestFit="1" customWidth="1"/>
    <col min="8962" max="8962" width="13.44140625" style="84" bestFit="1" customWidth="1"/>
    <col min="8963" max="8963" width="7.33203125" style="84" bestFit="1" customWidth="1"/>
    <col min="8964" max="8964" width="28.33203125" style="84" customWidth="1"/>
    <col min="8965" max="8965" width="12.6640625" style="84" bestFit="1" customWidth="1"/>
    <col min="8966" max="9216" width="22.88671875" style="84"/>
    <col min="9217" max="9217" width="22.6640625" style="84" bestFit="1" customWidth="1"/>
    <col min="9218" max="9218" width="13.44140625" style="84" bestFit="1" customWidth="1"/>
    <col min="9219" max="9219" width="7.33203125" style="84" bestFit="1" customWidth="1"/>
    <col min="9220" max="9220" width="28.33203125" style="84" customWidth="1"/>
    <col min="9221" max="9221" width="12.6640625" style="84" bestFit="1" customWidth="1"/>
    <col min="9222" max="9472" width="22.88671875" style="84"/>
    <col min="9473" max="9473" width="22.6640625" style="84" bestFit="1" customWidth="1"/>
    <col min="9474" max="9474" width="13.44140625" style="84" bestFit="1" customWidth="1"/>
    <col min="9475" max="9475" width="7.33203125" style="84" bestFit="1" customWidth="1"/>
    <col min="9476" max="9476" width="28.33203125" style="84" customWidth="1"/>
    <col min="9477" max="9477" width="12.6640625" style="84" bestFit="1" customWidth="1"/>
    <col min="9478" max="9728" width="22.88671875" style="84"/>
    <col min="9729" max="9729" width="22.6640625" style="84" bestFit="1" customWidth="1"/>
    <col min="9730" max="9730" width="13.44140625" style="84" bestFit="1" customWidth="1"/>
    <col min="9731" max="9731" width="7.33203125" style="84" bestFit="1" customWidth="1"/>
    <col min="9732" max="9732" width="28.33203125" style="84" customWidth="1"/>
    <col min="9733" max="9733" width="12.6640625" style="84" bestFit="1" customWidth="1"/>
    <col min="9734" max="9984" width="22.88671875" style="84"/>
    <col min="9985" max="9985" width="22.6640625" style="84" bestFit="1" customWidth="1"/>
    <col min="9986" max="9986" width="13.44140625" style="84" bestFit="1" customWidth="1"/>
    <col min="9987" max="9987" width="7.33203125" style="84" bestFit="1" customWidth="1"/>
    <col min="9988" max="9988" width="28.33203125" style="84" customWidth="1"/>
    <col min="9989" max="9989" width="12.6640625" style="84" bestFit="1" customWidth="1"/>
    <col min="9990" max="10240" width="22.88671875" style="84"/>
    <col min="10241" max="10241" width="22.6640625" style="84" bestFit="1" customWidth="1"/>
    <col min="10242" max="10242" width="13.44140625" style="84" bestFit="1" customWidth="1"/>
    <col min="10243" max="10243" width="7.33203125" style="84" bestFit="1" customWidth="1"/>
    <col min="10244" max="10244" width="28.33203125" style="84" customWidth="1"/>
    <col min="10245" max="10245" width="12.6640625" style="84" bestFit="1" customWidth="1"/>
    <col min="10246" max="10496" width="22.88671875" style="84"/>
    <col min="10497" max="10497" width="22.6640625" style="84" bestFit="1" customWidth="1"/>
    <col min="10498" max="10498" width="13.44140625" style="84" bestFit="1" customWidth="1"/>
    <col min="10499" max="10499" width="7.33203125" style="84" bestFit="1" customWidth="1"/>
    <col min="10500" max="10500" width="28.33203125" style="84" customWidth="1"/>
    <col min="10501" max="10501" width="12.6640625" style="84" bestFit="1" customWidth="1"/>
    <col min="10502" max="10752" width="22.88671875" style="84"/>
    <col min="10753" max="10753" width="22.6640625" style="84" bestFit="1" customWidth="1"/>
    <col min="10754" max="10754" width="13.44140625" style="84" bestFit="1" customWidth="1"/>
    <col min="10755" max="10755" width="7.33203125" style="84" bestFit="1" customWidth="1"/>
    <col min="10756" max="10756" width="28.33203125" style="84" customWidth="1"/>
    <col min="10757" max="10757" width="12.6640625" style="84" bestFit="1" customWidth="1"/>
    <col min="10758" max="11008" width="22.88671875" style="84"/>
    <col min="11009" max="11009" width="22.6640625" style="84" bestFit="1" customWidth="1"/>
    <col min="11010" max="11010" width="13.44140625" style="84" bestFit="1" customWidth="1"/>
    <col min="11011" max="11011" width="7.33203125" style="84" bestFit="1" customWidth="1"/>
    <col min="11012" max="11012" width="28.33203125" style="84" customWidth="1"/>
    <col min="11013" max="11013" width="12.6640625" style="84" bestFit="1" customWidth="1"/>
    <col min="11014" max="11264" width="22.88671875" style="84"/>
    <col min="11265" max="11265" width="22.6640625" style="84" bestFit="1" customWidth="1"/>
    <col min="11266" max="11266" width="13.44140625" style="84" bestFit="1" customWidth="1"/>
    <col min="11267" max="11267" width="7.33203125" style="84" bestFit="1" customWidth="1"/>
    <col min="11268" max="11268" width="28.33203125" style="84" customWidth="1"/>
    <col min="11269" max="11269" width="12.6640625" style="84" bestFit="1" customWidth="1"/>
    <col min="11270" max="11520" width="22.88671875" style="84"/>
    <col min="11521" max="11521" width="22.6640625" style="84" bestFit="1" customWidth="1"/>
    <col min="11522" max="11522" width="13.44140625" style="84" bestFit="1" customWidth="1"/>
    <col min="11523" max="11523" width="7.33203125" style="84" bestFit="1" customWidth="1"/>
    <col min="11524" max="11524" width="28.33203125" style="84" customWidth="1"/>
    <col min="11525" max="11525" width="12.6640625" style="84" bestFit="1" customWidth="1"/>
    <col min="11526" max="11776" width="22.88671875" style="84"/>
    <col min="11777" max="11777" width="22.6640625" style="84" bestFit="1" customWidth="1"/>
    <col min="11778" max="11778" width="13.44140625" style="84" bestFit="1" customWidth="1"/>
    <col min="11779" max="11779" width="7.33203125" style="84" bestFit="1" customWidth="1"/>
    <col min="11780" max="11780" width="28.33203125" style="84" customWidth="1"/>
    <col min="11781" max="11781" width="12.6640625" style="84" bestFit="1" customWidth="1"/>
    <col min="11782" max="12032" width="22.88671875" style="84"/>
    <col min="12033" max="12033" width="22.6640625" style="84" bestFit="1" customWidth="1"/>
    <col min="12034" max="12034" width="13.44140625" style="84" bestFit="1" customWidth="1"/>
    <col min="12035" max="12035" width="7.33203125" style="84" bestFit="1" customWidth="1"/>
    <col min="12036" max="12036" width="28.33203125" style="84" customWidth="1"/>
    <col min="12037" max="12037" width="12.6640625" style="84" bestFit="1" customWidth="1"/>
    <col min="12038" max="12288" width="22.88671875" style="84"/>
    <col min="12289" max="12289" width="22.6640625" style="84" bestFit="1" customWidth="1"/>
    <col min="12290" max="12290" width="13.44140625" style="84" bestFit="1" customWidth="1"/>
    <col min="12291" max="12291" width="7.33203125" style="84" bestFit="1" customWidth="1"/>
    <col min="12292" max="12292" width="28.33203125" style="84" customWidth="1"/>
    <col min="12293" max="12293" width="12.6640625" style="84" bestFit="1" customWidth="1"/>
    <col min="12294" max="12544" width="22.88671875" style="84"/>
    <col min="12545" max="12545" width="22.6640625" style="84" bestFit="1" customWidth="1"/>
    <col min="12546" max="12546" width="13.44140625" style="84" bestFit="1" customWidth="1"/>
    <col min="12547" max="12547" width="7.33203125" style="84" bestFit="1" customWidth="1"/>
    <col min="12548" max="12548" width="28.33203125" style="84" customWidth="1"/>
    <col min="12549" max="12549" width="12.6640625" style="84" bestFit="1" customWidth="1"/>
    <col min="12550" max="12800" width="22.88671875" style="84"/>
    <col min="12801" max="12801" width="22.6640625" style="84" bestFit="1" customWidth="1"/>
    <col min="12802" max="12802" width="13.44140625" style="84" bestFit="1" customWidth="1"/>
    <col min="12803" max="12803" width="7.33203125" style="84" bestFit="1" customWidth="1"/>
    <col min="12804" max="12804" width="28.33203125" style="84" customWidth="1"/>
    <col min="12805" max="12805" width="12.6640625" style="84" bestFit="1" customWidth="1"/>
    <col min="12806" max="13056" width="22.88671875" style="84"/>
    <col min="13057" max="13057" width="22.6640625" style="84" bestFit="1" customWidth="1"/>
    <col min="13058" max="13058" width="13.44140625" style="84" bestFit="1" customWidth="1"/>
    <col min="13059" max="13059" width="7.33203125" style="84" bestFit="1" customWidth="1"/>
    <col min="13060" max="13060" width="28.33203125" style="84" customWidth="1"/>
    <col min="13061" max="13061" width="12.6640625" style="84" bestFit="1" customWidth="1"/>
    <col min="13062" max="13312" width="22.88671875" style="84"/>
    <col min="13313" max="13313" width="22.6640625" style="84" bestFit="1" customWidth="1"/>
    <col min="13314" max="13314" width="13.44140625" style="84" bestFit="1" customWidth="1"/>
    <col min="13315" max="13315" width="7.33203125" style="84" bestFit="1" customWidth="1"/>
    <col min="13316" max="13316" width="28.33203125" style="84" customWidth="1"/>
    <col min="13317" max="13317" width="12.6640625" style="84" bestFit="1" customWidth="1"/>
    <col min="13318" max="13568" width="22.88671875" style="84"/>
    <col min="13569" max="13569" width="22.6640625" style="84" bestFit="1" customWidth="1"/>
    <col min="13570" max="13570" width="13.44140625" style="84" bestFit="1" customWidth="1"/>
    <col min="13571" max="13571" width="7.33203125" style="84" bestFit="1" customWidth="1"/>
    <col min="13572" max="13572" width="28.33203125" style="84" customWidth="1"/>
    <col min="13573" max="13573" width="12.6640625" style="84" bestFit="1" customWidth="1"/>
    <col min="13574" max="13824" width="22.88671875" style="84"/>
    <col min="13825" max="13825" width="22.6640625" style="84" bestFit="1" customWidth="1"/>
    <col min="13826" max="13826" width="13.44140625" style="84" bestFit="1" customWidth="1"/>
    <col min="13827" max="13827" width="7.33203125" style="84" bestFit="1" customWidth="1"/>
    <col min="13828" max="13828" width="28.33203125" style="84" customWidth="1"/>
    <col min="13829" max="13829" width="12.6640625" style="84" bestFit="1" customWidth="1"/>
    <col min="13830" max="14080" width="22.88671875" style="84"/>
    <col min="14081" max="14081" width="22.6640625" style="84" bestFit="1" customWidth="1"/>
    <col min="14082" max="14082" width="13.44140625" style="84" bestFit="1" customWidth="1"/>
    <col min="14083" max="14083" width="7.33203125" style="84" bestFit="1" customWidth="1"/>
    <col min="14084" max="14084" width="28.33203125" style="84" customWidth="1"/>
    <col min="14085" max="14085" width="12.6640625" style="84" bestFit="1" customWidth="1"/>
    <col min="14086" max="14336" width="22.88671875" style="84"/>
    <col min="14337" max="14337" width="22.6640625" style="84" bestFit="1" customWidth="1"/>
    <col min="14338" max="14338" width="13.44140625" style="84" bestFit="1" customWidth="1"/>
    <col min="14339" max="14339" width="7.33203125" style="84" bestFit="1" customWidth="1"/>
    <col min="14340" max="14340" width="28.33203125" style="84" customWidth="1"/>
    <col min="14341" max="14341" width="12.6640625" style="84" bestFit="1" customWidth="1"/>
    <col min="14342" max="14592" width="22.88671875" style="84"/>
    <col min="14593" max="14593" width="22.6640625" style="84" bestFit="1" customWidth="1"/>
    <col min="14594" max="14594" width="13.44140625" style="84" bestFit="1" customWidth="1"/>
    <col min="14595" max="14595" width="7.33203125" style="84" bestFit="1" customWidth="1"/>
    <col min="14596" max="14596" width="28.33203125" style="84" customWidth="1"/>
    <col min="14597" max="14597" width="12.6640625" style="84" bestFit="1" customWidth="1"/>
    <col min="14598" max="14848" width="22.88671875" style="84"/>
    <col min="14849" max="14849" width="22.6640625" style="84" bestFit="1" customWidth="1"/>
    <col min="14850" max="14850" width="13.44140625" style="84" bestFit="1" customWidth="1"/>
    <col min="14851" max="14851" width="7.33203125" style="84" bestFit="1" customWidth="1"/>
    <col min="14852" max="14852" width="28.33203125" style="84" customWidth="1"/>
    <col min="14853" max="14853" width="12.6640625" style="84" bestFit="1" customWidth="1"/>
    <col min="14854" max="15104" width="22.88671875" style="84"/>
    <col min="15105" max="15105" width="22.6640625" style="84" bestFit="1" customWidth="1"/>
    <col min="15106" max="15106" width="13.44140625" style="84" bestFit="1" customWidth="1"/>
    <col min="15107" max="15107" width="7.33203125" style="84" bestFit="1" customWidth="1"/>
    <col min="15108" max="15108" width="28.33203125" style="84" customWidth="1"/>
    <col min="15109" max="15109" width="12.6640625" style="84" bestFit="1" customWidth="1"/>
    <col min="15110" max="15360" width="22.88671875" style="84"/>
    <col min="15361" max="15361" width="22.6640625" style="84" bestFit="1" customWidth="1"/>
    <col min="15362" max="15362" width="13.44140625" style="84" bestFit="1" customWidth="1"/>
    <col min="15363" max="15363" width="7.33203125" style="84" bestFit="1" customWidth="1"/>
    <col min="15364" max="15364" width="28.33203125" style="84" customWidth="1"/>
    <col min="15365" max="15365" width="12.6640625" style="84" bestFit="1" customWidth="1"/>
    <col min="15366" max="15616" width="22.88671875" style="84"/>
    <col min="15617" max="15617" width="22.6640625" style="84" bestFit="1" customWidth="1"/>
    <col min="15618" max="15618" width="13.44140625" style="84" bestFit="1" customWidth="1"/>
    <col min="15619" max="15619" width="7.33203125" style="84" bestFit="1" customWidth="1"/>
    <col min="15620" max="15620" width="28.33203125" style="84" customWidth="1"/>
    <col min="15621" max="15621" width="12.6640625" style="84" bestFit="1" customWidth="1"/>
    <col min="15622" max="15872" width="22.88671875" style="84"/>
    <col min="15873" max="15873" width="22.6640625" style="84" bestFit="1" customWidth="1"/>
    <col min="15874" max="15874" width="13.44140625" style="84" bestFit="1" customWidth="1"/>
    <col min="15875" max="15875" width="7.33203125" style="84" bestFit="1" customWidth="1"/>
    <col min="15876" max="15876" width="28.33203125" style="84" customWidth="1"/>
    <col min="15877" max="15877" width="12.6640625" style="84" bestFit="1" customWidth="1"/>
    <col min="15878" max="16128" width="22.88671875" style="84"/>
    <col min="16129" max="16129" width="22.6640625" style="84" bestFit="1" customWidth="1"/>
    <col min="16130" max="16130" width="13.44140625" style="84" bestFit="1" customWidth="1"/>
    <col min="16131" max="16131" width="7.33203125" style="84" bestFit="1" customWidth="1"/>
    <col min="16132" max="16132" width="28.33203125" style="84" customWidth="1"/>
    <col min="16133" max="16133" width="12.6640625" style="84" bestFit="1" customWidth="1"/>
    <col min="16134" max="16384" width="22.88671875" style="84"/>
  </cols>
  <sheetData>
    <row r="1" spans="1:5" x14ac:dyDescent="0.25">
      <c r="A1" s="189" t="s">
        <v>305</v>
      </c>
      <c r="B1" s="191">
        <f>PV(B3,B6,,B7)</f>
        <v>252572.46819458736</v>
      </c>
      <c r="D1" s="84">
        <f>-B7/(1+B3)^B6</f>
        <v>252572.46819458736</v>
      </c>
    </row>
    <row r="2" spans="1:5" x14ac:dyDescent="0.25">
      <c r="A2" s="189" t="s">
        <v>136</v>
      </c>
      <c r="B2" s="186">
        <v>7.0000000000000007E-2</v>
      </c>
    </row>
    <row r="3" spans="1:5" x14ac:dyDescent="0.25">
      <c r="A3" s="189" t="s">
        <v>137</v>
      </c>
      <c r="B3" s="188">
        <f>B2/B5</f>
        <v>3.5000000000000003E-2</v>
      </c>
    </row>
    <row r="4" spans="1:5" x14ac:dyDescent="0.25">
      <c r="A4" s="189" t="s">
        <v>10</v>
      </c>
      <c r="B4" s="187">
        <v>20</v>
      </c>
    </row>
    <row r="5" spans="1:5" x14ac:dyDescent="0.25">
      <c r="A5" s="189" t="s">
        <v>138</v>
      </c>
      <c r="B5" s="187">
        <v>2</v>
      </c>
    </row>
    <row r="6" spans="1:5" x14ac:dyDescent="0.25">
      <c r="A6" s="189" t="s">
        <v>12</v>
      </c>
      <c r="B6" s="188">
        <f>B4*B5</f>
        <v>40</v>
      </c>
    </row>
    <row r="7" spans="1:5" x14ac:dyDescent="0.25">
      <c r="A7" s="189" t="s">
        <v>304</v>
      </c>
      <c r="B7" s="190">
        <v>-1000000</v>
      </c>
      <c r="E7" s="96"/>
    </row>
    <row r="9" spans="1:5" x14ac:dyDescent="0.25">
      <c r="A9" s="193" t="s">
        <v>48</v>
      </c>
      <c r="B9" s="193" t="s">
        <v>306</v>
      </c>
      <c r="C9" s="193" t="s">
        <v>146</v>
      </c>
    </row>
    <row r="10" spans="1:5" customFormat="1" ht="14.4" x14ac:dyDescent="0.3">
      <c r="A10" s="1">
        <v>0</v>
      </c>
      <c r="B10" s="1"/>
      <c r="C10" s="18">
        <f>B1</f>
        <v>252572.46819458736</v>
      </c>
    </row>
    <row r="11" spans="1:5" customFormat="1" ht="14.4" x14ac:dyDescent="0.3">
      <c r="A11" s="1">
        <v>1</v>
      </c>
      <c r="B11" s="18">
        <f>C10*$B$3</f>
        <v>8840.0363868105578</v>
      </c>
      <c r="C11" s="18">
        <f>C10+B11</f>
        <v>261412.50458139792</v>
      </c>
    </row>
    <row r="12" spans="1:5" customFormat="1" ht="14.4" x14ac:dyDescent="0.3">
      <c r="A12" s="1">
        <v>2</v>
      </c>
      <c r="B12" s="18">
        <f t="shared" ref="B12:B50" si="0">C11*$B$3</f>
        <v>9149.4376603489291</v>
      </c>
      <c r="C12" s="18">
        <f t="shared" ref="C12:C50" si="1">C11+B12</f>
        <v>270561.94224174687</v>
      </c>
    </row>
    <row r="13" spans="1:5" customFormat="1" ht="14.4" x14ac:dyDescent="0.3">
      <c r="A13" s="1">
        <v>3</v>
      </c>
      <c r="B13" s="18">
        <f t="shared" si="0"/>
        <v>9469.6679784611406</v>
      </c>
      <c r="C13" s="18">
        <f t="shared" si="1"/>
        <v>280031.61022020801</v>
      </c>
    </row>
    <row r="14" spans="1:5" customFormat="1" ht="14.4" x14ac:dyDescent="0.3">
      <c r="A14" s="1">
        <v>4</v>
      </c>
      <c r="B14" s="18">
        <f t="shared" si="0"/>
        <v>9801.1063577072819</v>
      </c>
      <c r="C14" s="18">
        <f t="shared" si="1"/>
        <v>289832.7165779153</v>
      </c>
    </row>
    <row r="15" spans="1:5" customFormat="1" ht="14.4" x14ac:dyDescent="0.3">
      <c r="A15" s="1">
        <v>5</v>
      </c>
      <c r="B15" s="18">
        <f t="shared" si="0"/>
        <v>10144.145080227036</v>
      </c>
      <c r="C15" s="18">
        <f t="shared" si="1"/>
        <v>299976.86165814236</v>
      </c>
    </row>
    <row r="16" spans="1:5" customFormat="1" ht="14.4" x14ac:dyDescent="0.3">
      <c r="A16" s="1">
        <v>6</v>
      </c>
      <c r="B16" s="18">
        <f t="shared" si="0"/>
        <v>10499.190158034984</v>
      </c>
      <c r="C16" s="18">
        <f t="shared" si="1"/>
        <v>310476.05181617732</v>
      </c>
    </row>
    <row r="17" spans="1:3" customFormat="1" ht="14.4" x14ac:dyDescent="0.3">
      <c r="A17" s="1">
        <v>7</v>
      </c>
      <c r="B17" s="18">
        <f t="shared" si="0"/>
        <v>10866.661813566207</v>
      </c>
      <c r="C17" s="18">
        <f t="shared" si="1"/>
        <v>321342.71362974355</v>
      </c>
    </row>
    <row r="18" spans="1:3" customFormat="1" ht="14.4" x14ac:dyDescent="0.3">
      <c r="A18" s="1">
        <v>8</v>
      </c>
      <c r="B18" s="18">
        <f t="shared" si="0"/>
        <v>11246.994977041026</v>
      </c>
      <c r="C18" s="18">
        <f t="shared" si="1"/>
        <v>332589.70860678458</v>
      </c>
    </row>
    <row r="19" spans="1:3" customFormat="1" ht="14.4" x14ac:dyDescent="0.3">
      <c r="A19" s="1">
        <v>9</v>
      </c>
      <c r="B19" s="18">
        <f t="shared" si="0"/>
        <v>11640.639801237461</v>
      </c>
      <c r="C19" s="18">
        <f t="shared" si="1"/>
        <v>344230.34840802202</v>
      </c>
    </row>
    <row r="20" spans="1:3" customFormat="1" ht="14.4" x14ac:dyDescent="0.3">
      <c r="A20" s="1">
        <v>10</v>
      </c>
      <c r="B20" s="18">
        <f t="shared" si="0"/>
        <v>12048.062194280772</v>
      </c>
      <c r="C20" s="18">
        <f t="shared" si="1"/>
        <v>356278.41060230281</v>
      </c>
    </row>
    <row r="21" spans="1:3" customFormat="1" ht="14.4" x14ac:dyDescent="0.3">
      <c r="A21" s="1">
        <v>11</v>
      </c>
      <c r="B21" s="18">
        <f t="shared" si="0"/>
        <v>12469.7443710806</v>
      </c>
      <c r="C21" s="18">
        <f t="shared" si="1"/>
        <v>368748.15497338341</v>
      </c>
    </row>
    <row r="22" spans="1:3" customFormat="1" ht="14.4" x14ac:dyDescent="0.3">
      <c r="A22" s="1">
        <v>12</v>
      </c>
      <c r="B22" s="18">
        <f t="shared" si="0"/>
        <v>12906.185424068421</v>
      </c>
      <c r="C22" s="18">
        <f t="shared" si="1"/>
        <v>381654.34039745183</v>
      </c>
    </row>
    <row r="23" spans="1:3" customFormat="1" ht="14.4" x14ac:dyDescent="0.3">
      <c r="A23" s="1">
        <v>13</v>
      </c>
      <c r="B23" s="18">
        <f t="shared" si="0"/>
        <v>13357.901913910815</v>
      </c>
      <c r="C23" s="18">
        <f t="shared" si="1"/>
        <v>395012.24231136264</v>
      </c>
    </row>
    <row r="24" spans="1:3" customFormat="1" ht="14.4" x14ac:dyDescent="0.3">
      <c r="A24" s="1">
        <v>14</v>
      </c>
      <c r="B24" s="18">
        <f t="shared" si="0"/>
        <v>13825.428480897694</v>
      </c>
      <c r="C24" s="18">
        <f t="shared" si="1"/>
        <v>408837.67079226032</v>
      </c>
    </row>
    <row r="25" spans="1:3" customFormat="1" ht="14.4" x14ac:dyDescent="0.3">
      <c r="A25" s="1">
        <v>15</v>
      </c>
      <c r="B25" s="18">
        <f t="shared" si="0"/>
        <v>14309.318477729114</v>
      </c>
      <c r="C25" s="18">
        <f t="shared" si="1"/>
        <v>423146.98926998943</v>
      </c>
    </row>
    <row r="26" spans="1:3" customFormat="1" ht="14.4" x14ac:dyDescent="0.3">
      <c r="A26" s="1">
        <v>16</v>
      </c>
      <c r="B26" s="18">
        <f t="shared" si="0"/>
        <v>14810.144624449631</v>
      </c>
      <c r="C26" s="18">
        <f t="shared" si="1"/>
        <v>437957.13389443903</v>
      </c>
    </row>
    <row r="27" spans="1:3" customFormat="1" ht="14.4" x14ac:dyDescent="0.3">
      <c r="A27" s="1">
        <v>17</v>
      </c>
      <c r="B27" s="18">
        <f t="shared" si="0"/>
        <v>15328.499686305368</v>
      </c>
      <c r="C27" s="18">
        <f t="shared" si="1"/>
        <v>453285.63358074438</v>
      </c>
    </row>
    <row r="28" spans="1:3" customFormat="1" ht="14.4" x14ac:dyDescent="0.3">
      <c r="A28" s="1">
        <v>18</v>
      </c>
      <c r="B28" s="18">
        <f t="shared" si="0"/>
        <v>15864.997175326054</v>
      </c>
      <c r="C28" s="18">
        <f t="shared" si="1"/>
        <v>469150.63075607043</v>
      </c>
    </row>
    <row r="29" spans="1:3" customFormat="1" ht="14.4" x14ac:dyDescent="0.3">
      <c r="A29" s="1">
        <v>19</v>
      </c>
      <c r="B29" s="18">
        <f t="shared" si="0"/>
        <v>16420.272076462468</v>
      </c>
      <c r="C29" s="18">
        <f t="shared" si="1"/>
        <v>485570.90283253288</v>
      </c>
    </row>
    <row r="30" spans="1:3" customFormat="1" ht="14.4" x14ac:dyDescent="0.3">
      <c r="A30" s="1">
        <v>20</v>
      </c>
      <c r="B30" s="18">
        <f t="shared" si="0"/>
        <v>16994.981599138653</v>
      </c>
      <c r="C30" s="18">
        <f t="shared" si="1"/>
        <v>502565.88443167153</v>
      </c>
    </row>
    <row r="31" spans="1:3" customFormat="1" ht="14.4" x14ac:dyDescent="0.3">
      <c r="A31" s="1">
        <v>21</v>
      </c>
      <c r="B31" s="18">
        <f t="shared" si="0"/>
        <v>17589.805955108506</v>
      </c>
      <c r="C31" s="18">
        <f t="shared" si="1"/>
        <v>520155.69038678001</v>
      </c>
    </row>
    <row r="32" spans="1:3" customFormat="1" ht="14.4" x14ac:dyDescent="0.3">
      <c r="A32" s="1">
        <v>22</v>
      </c>
      <c r="B32" s="18">
        <f t="shared" si="0"/>
        <v>18205.449163537302</v>
      </c>
      <c r="C32" s="18">
        <f t="shared" si="1"/>
        <v>538361.13955031731</v>
      </c>
    </row>
    <row r="33" spans="1:3" customFormat="1" ht="14.4" x14ac:dyDescent="0.3">
      <c r="A33" s="1">
        <v>23</v>
      </c>
      <c r="B33" s="18">
        <f t="shared" si="0"/>
        <v>18842.639884261109</v>
      </c>
      <c r="C33" s="18">
        <f t="shared" si="1"/>
        <v>557203.77943457838</v>
      </c>
    </row>
    <row r="34" spans="1:3" customFormat="1" ht="14.4" x14ac:dyDescent="0.3">
      <c r="A34" s="1">
        <v>24</v>
      </c>
      <c r="B34" s="18">
        <f t="shared" si="0"/>
        <v>19502.132280210244</v>
      </c>
      <c r="C34" s="18">
        <f t="shared" si="1"/>
        <v>576705.91171478864</v>
      </c>
    </row>
    <row r="35" spans="1:3" customFormat="1" ht="14.4" x14ac:dyDescent="0.3">
      <c r="A35" s="1">
        <v>25</v>
      </c>
      <c r="B35" s="18">
        <f t="shared" si="0"/>
        <v>20184.706910017605</v>
      </c>
      <c r="C35" s="18">
        <f t="shared" si="1"/>
        <v>596890.61862480629</v>
      </c>
    </row>
    <row r="36" spans="1:3" customFormat="1" ht="14.4" x14ac:dyDescent="0.3">
      <c r="A36" s="1">
        <v>26</v>
      </c>
      <c r="B36" s="18">
        <f t="shared" si="0"/>
        <v>20891.171651868222</v>
      </c>
      <c r="C36" s="18">
        <f t="shared" si="1"/>
        <v>617781.79027667455</v>
      </c>
    </row>
    <row r="37" spans="1:3" customFormat="1" ht="14.4" x14ac:dyDescent="0.3">
      <c r="A37" s="1">
        <v>27</v>
      </c>
      <c r="B37" s="18">
        <f t="shared" si="0"/>
        <v>21622.362659683611</v>
      </c>
      <c r="C37" s="18">
        <f t="shared" si="1"/>
        <v>639404.15293635812</v>
      </c>
    </row>
    <row r="38" spans="1:3" customFormat="1" ht="14.4" x14ac:dyDescent="0.3">
      <c r="A38" s="1">
        <v>28</v>
      </c>
      <c r="B38" s="18">
        <f t="shared" si="0"/>
        <v>22379.145352772535</v>
      </c>
      <c r="C38" s="18">
        <f t="shared" si="1"/>
        <v>661783.29828913067</v>
      </c>
    </row>
    <row r="39" spans="1:3" customFormat="1" ht="14.4" x14ac:dyDescent="0.3">
      <c r="A39" s="1">
        <v>29</v>
      </c>
      <c r="B39" s="18">
        <f t="shared" si="0"/>
        <v>23162.415440119577</v>
      </c>
      <c r="C39" s="18">
        <f t="shared" si="1"/>
        <v>684945.71372925024</v>
      </c>
    </row>
    <row r="40" spans="1:3" customFormat="1" ht="14.4" x14ac:dyDescent="0.3">
      <c r="A40" s="1">
        <v>30</v>
      </c>
      <c r="B40" s="18">
        <f t="shared" si="0"/>
        <v>23973.099980523762</v>
      </c>
      <c r="C40" s="18">
        <f t="shared" si="1"/>
        <v>708918.81370977405</v>
      </c>
    </row>
    <row r="41" spans="1:3" customFormat="1" ht="14.4" x14ac:dyDescent="0.3">
      <c r="A41" s="1">
        <v>31</v>
      </c>
      <c r="B41" s="18">
        <f t="shared" si="0"/>
        <v>24812.158479842095</v>
      </c>
      <c r="C41" s="18">
        <f t="shared" si="1"/>
        <v>733730.97218961618</v>
      </c>
    </row>
    <row r="42" spans="1:3" customFormat="1" ht="14.4" x14ac:dyDescent="0.3">
      <c r="A42" s="1">
        <v>32</v>
      </c>
      <c r="B42" s="18">
        <f t="shared" si="0"/>
        <v>25680.58402663657</v>
      </c>
      <c r="C42" s="18">
        <f t="shared" si="1"/>
        <v>759411.55621625273</v>
      </c>
    </row>
    <row r="43" spans="1:3" customFormat="1" ht="14.4" x14ac:dyDescent="0.3">
      <c r="A43" s="1">
        <v>33</v>
      </c>
      <c r="B43" s="18">
        <f t="shared" si="0"/>
        <v>26579.404467568849</v>
      </c>
      <c r="C43" s="18">
        <f t="shared" si="1"/>
        <v>785990.96068382158</v>
      </c>
    </row>
    <row r="44" spans="1:3" customFormat="1" ht="14.4" x14ac:dyDescent="0.3">
      <c r="A44" s="1">
        <v>34</v>
      </c>
      <c r="B44" s="18">
        <f t="shared" si="0"/>
        <v>27509.683623933757</v>
      </c>
      <c r="C44" s="18">
        <f t="shared" si="1"/>
        <v>813500.6443077554</v>
      </c>
    </row>
    <row r="45" spans="1:3" customFormat="1" ht="14.4" x14ac:dyDescent="0.3">
      <c r="A45" s="1">
        <v>35</v>
      </c>
      <c r="B45" s="18">
        <f t="shared" si="0"/>
        <v>28472.522550771442</v>
      </c>
      <c r="C45" s="18">
        <f t="shared" si="1"/>
        <v>841973.16685852688</v>
      </c>
    </row>
    <row r="46" spans="1:3" customFormat="1" ht="14.4" x14ac:dyDescent="0.3">
      <c r="A46" s="1">
        <v>36</v>
      </c>
      <c r="B46" s="18">
        <f t="shared" si="0"/>
        <v>29469.060840048445</v>
      </c>
      <c r="C46" s="18">
        <f t="shared" si="1"/>
        <v>871442.22769857536</v>
      </c>
    </row>
    <row r="47" spans="1:3" customFormat="1" ht="14.4" x14ac:dyDescent="0.3">
      <c r="A47" s="1">
        <v>37</v>
      </c>
      <c r="B47" s="18">
        <f t="shared" si="0"/>
        <v>30500.477969450141</v>
      </c>
      <c r="C47" s="18">
        <f t="shared" si="1"/>
        <v>901942.70566802553</v>
      </c>
    </row>
    <row r="48" spans="1:3" customFormat="1" ht="14.4" x14ac:dyDescent="0.3">
      <c r="A48" s="1">
        <v>38</v>
      </c>
      <c r="B48" s="18">
        <f t="shared" si="0"/>
        <v>31567.994698380895</v>
      </c>
      <c r="C48" s="18">
        <f t="shared" si="1"/>
        <v>933510.70036640647</v>
      </c>
    </row>
    <row r="49" spans="1:3" customFormat="1" ht="14.4" x14ac:dyDescent="0.3">
      <c r="A49" s="1">
        <v>39</v>
      </c>
      <c r="B49" s="18">
        <f t="shared" si="0"/>
        <v>32672.87451282423</v>
      </c>
      <c r="C49" s="18">
        <f t="shared" si="1"/>
        <v>966183.5748792307</v>
      </c>
    </row>
    <row r="50" spans="1:3" customFormat="1" ht="14.4" x14ac:dyDescent="0.3">
      <c r="A50" s="1">
        <v>40</v>
      </c>
      <c r="B50" s="18">
        <f t="shared" si="0"/>
        <v>33816.425120773078</v>
      </c>
      <c r="C50" s="18">
        <f t="shared" si="1"/>
        <v>1000000.0000000037</v>
      </c>
    </row>
    <row r="51" spans="1:3" customFormat="1" ht="14.4" x14ac:dyDescent="0.3"/>
    <row r="52" spans="1:3" customFormat="1" ht="14.4" x14ac:dyDescent="0.3"/>
    <row r="53" spans="1:3" customFormat="1" ht="14.4" x14ac:dyDescent="0.3"/>
  </sheetData>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3"/>
  <sheetViews>
    <sheetView workbookViewId="0">
      <selection activeCell="G14" sqref="G14"/>
    </sheetView>
  </sheetViews>
  <sheetFormatPr defaultColWidth="22.88671875" defaultRowHeight="13.2" x14ac:dyDescent="0.25"/>
  <cols>
    <col min="1" max="1" width="22.6640625" style="84" bestFit="1" customWidth="1"/>
    <col min="2" max="2" width="13.44140625" style="84" bestFit="1" customWidth="1"/>
    <col min="3" max="3" width="7.33203125" style="84" bestFit="1" customWidth="1"/>
    <col min="4" max="4" width="28.33203125" style="84" customWidth="1"/>
    <col min="5" max="5" width="12.6640625" style="84" bestFit="1" customWidth="1"/>
    <col min="6" max="256" width="22.88671875" style="84"/>
    <col min="257" max="257" width="22.6640625" style="84" bestFit="1" customWidth="1"/>
    <col min="258" max="258" width="13.44140625" style="84" bestFit="1" customWidth="1"/>
    <col min="259" max="259" width="7.33203125" style="84" bestFit="1" customWidth="1"/>
    <col min="260" max="260" width="28.33203125" style="84" customWidth="1"/>
    <col min="261" max="261" width="12.6640625" style="84" bestFit="1" customWidth="1"/>
    <col min="262" max="512" width="22.88671875" style="84"/>
    <col min="513" max="513" width="22.6640625" style="84" bestFit="1" customWidth="1"/>
    <col min="514" max="514" width="13.44140625" style="84" bestFit="1" customWidth="1"/>
    <col min="515" max="515" width="7.33203125" style="84" bestFit="1" customWidth="1"/>
    <col min="516" max="516" width="28.33203125" style="84" customWidth="1"/>
    <col min="517" max="517" width="12.6640625" style="84" bestFit="1" customWidth="1"/>
    <col min="518" max="768" width="22.88671875" style="84"/>
    <col min="769" max="769" width="22.6640625" style="84" bestFit="1" customWidth="1"/>
    <col min="770" max="770" width="13.44140625" style="84" bestFit="1" customWidth="1"/>
    <col min="771" max="771" width="7.33203125" style="84" bestFit="1" customWidth="1"/>
    <col min="772" max="772" width="28.33203125" style="84" customWidth="1"/>
    <col min="773" max="773" width="12.6640625" style="84" bestFit="1" customWidth="1"/>
    <col min="774" max="1024" width="22.88671875" style="84"/>
    <col min="1025" max="1025" width="22.6640625" style="84" bestFit="1" customWidth="1"/>
    <col min="1026" max="1026" width="13.44140625" style="84" bestFit="1" customWidth="1"/>
    <col min="1027" max="1027" width="7.33203125" style="84" bestFit="1" customWidth="1"/>
    <col min="1028" max="1028" width="28.33203125" style="84" customWidth="1"/>
    <col min="1029" max="1029" width="12.6640625" style="84" bestFit="1" customWidth="1"/>
    <col min="1030" max="1280" width="22.88671875" style="84"/>
    <col min="1281" max="1281" width="22.6640625" style="84" bestFit="1" customWidth="1"/>
    <col min="1282" max="1282" width="13.44140625" style="84" bestFit="1" customWidth="1"/>
    <col min="1283" max="1283" width="7.33203125" style="84" bestFit="1" customWidth="1"/>
    <col min="1284" max="1284" width="28.33203125" style="84" customWidth="1"/>
    <col min="1285" max="1285" width="12.6640625" style="84" bestFit="1" customWidth="1"/>
    <col min="1286" max="1536" width="22.88671875" style="84"/>
    <col min="1537" max="1537" width="22.6640625" style="84" bestFit="1" customWidth="1"/>
    <col min="1538" max="1538" width="13.44140625" style="84" bestFit="1" customWidth="1"/>
    <col min="1539" max="1539" width="7.33203125" style="84" bestFit="1" customWidth="1"/>
    <col min="1540" max="1540" width="28.33203125" style="84" customWidth="1"/>
    <col min="1541" max="1541" width="12.6640625" style="84" bestFit="1" customWidth="1"/>
    <col min="1542" max="1792" width="22.88671875" style="84"/>
    <col min="1793" max="1793" width="22.6640625" style="84" bestFit="1" customWidth="1"/>
    <col min="1794" max="1794" width="13.44140625" style="84" bestFit="1" customWidth="1"/>
    <col min="1795" max="1795" width="7.33203125" style="84" bestFit="1" customWidth="1"/>
    <col min="1796" max="1796" width="28.33203125" style="84" customWidth="1"/>
    <col min="1797" max="1797" width="12.6640625" style="84" bestFit="1" customWidth="1"/>
    <col min="1798" max="2048" width="22.88671875" style="84"/>
    <col min="2049" max="2049" width="22.6640625" style="84" bestFit="1" customWidth="1"/>
    <col min="2050" max="2050" width="13.44140625" style="84" bestFit="1" customWidth="1"/>
    <col min="2051" max="2051" width="7.33203125" style="84" bestFit="1" customWidth="1"/>
    <col min="2052" max="2052" width="28.33203125" style="84" customWidth="1"/>
    <col min="2053" max="2053" width="12.6640625" style="84" bestFit="1" customWidth="1"/>
    <col min="2054" max="2304" width="22.88671875" style="84"/>
    <col min="2305" max="2305" width="22.6640625" style="84" bestFit="1" customWidth="1"/>
    <col min="2306" max="2306" width="13.44140625" style="84" bestFit="1" customWidth="1"/>
    <col min="2307" max="2307" width="7.33203125" style="84" bestFit="1" customWidth="1"/>
    <col min="2308" max="2308" width="28.33203125" style="84" customWidth="1"/>
    <col min="2309" max="2309" width="12.6640625" style="84" bestFit="1" customWidth="1"/>
    <col min="2310" max="2560" width="22.88671875" style="84"/>
    <col min="2561" max="2561" width="22.6640625" style="84" bestFit="1" customWidth="1"/>
    <col min="2562" max="2562" width="13.44140625" style="84" bestFit="1" customWidth="1"/>
    <col min="2563" max="2563" width="7.33203125" style="84" bestFit="1" customWidth="1"/>
    <col min="2564" max="2564" width="28.33203125" style="84" customWidth="1"/>
    <col min="2565" max="2565" width="12.6640625" style="84" bestFit="1" customWidth="1"/>
    <col min="2566" max="2816" width="22.88671875" style="84"/>
    <col min="2817" max="2817" width="22.6640625" style="84" bestFit="1" customWidth="1"/>
    <col min="2818" max="2818" width="13.44140625" style="84" bestFit="1" customWidth="1"/>
    <col min="2819" max="2819" width="7.33203125" style="84" bestFit="1" customWidth="1"/>
    <col min="2820" max="2820" width="28.33203125" style="84" customWidth="1"/>
    <col min="2821" max="2821" width="12.6640625" style="84" bestFit="1" customWidth="1"/>
    <col min="2822" max="3072" width="22.88671875" style="84"/>
    <col min="3073" max="3073" width="22.6640625" style="84" bestFit="1" customWidth="1"/>
    <col min="3074" max="3074" width="13.44140625" style="84" bestFit="1" customWidth="1"/>
    <col min="3075" max="3075" width="7.33203125" style="84" bestFit="1" customWidth="1"/>
    <col min="3076" max="3076" width="28.33203125" style="84" customWidth="1"/>
    <col min="3077" max="3077" width="12.6640625" style="84" bestFit="1" customWidth="1"/>
    <col min="3078" max="3328" width="22.88671875" style="84"/>
    <col min="3329" max="3329" width="22.6640625" style="84" bestFit="1" customWidth="1"/>
    <col min="3330" max="3330" width="13.44140625" style="84" bestFit="1" customWidth="1"/>
    <col min="3331" max="3331" width="7.33203125" style="84" bestFit="1" customWidth="1"/>
    <col min="3332" max="3332" width="28.33203125" style="84" customWidth="1"/>
    <col min="3333" max="3333" width="12.6640625" style="84" bestFit="1" customWidth="1"/>
    <col min="3334" max="3584" width="22.88671875" style="84"/>
    <col min="3585" max="3585" width="22.6640625" style="84" bestFit="1" customWidth="1"/>
    <col min="3586" max="3586" width="13.44140625" style="84" bestFit="1" customWidth="1"/>
    <col min="3587" max="3587" width="7.33203125" style="84" bestFit="1" customWidth="1"/>
    <col min="3588" max="3588" width="28.33203125" style="84" customWidth="1"/>
    <col min="3589" max="3589" width="12.6640625" style="84" bestFit="1" customWidth="1"/>
    <col min="3590" max="3840" width="22.88671875" style="84"/>
    <col min="3841" max="3841" width="22.6640625" style="84" bestFit="1" customWidth="1"/>
    <col min="3842" max="3842" width="13.44140625" style="84" bestFit="1" customWidth="1"/>
    <col min="3843" max="3843" width="7.33203125" style="84" bestFit="1" customWidth="1"/>
    <col min="3844" max="3844" width="28.33203125" style="84" customWidth="1"/>
    <col min="3845" max="3845" width="12.6640625" style="84" bestFit="1" customWidth="1"/>
    <col min="3846" max="4096" width="22.88671875" style="84"/>
    <col min="4097" max="4097" width="22.6640625" style="84" bestFit="1" customWidth="1"/>
    <col min="4098" max="4098" width="13.44140625" style="84" bestFit="1" customWidth="1"/>
    <col min="4099" max="4099" width="7.33203125" style="84" bestFit="1" customWidth="1"/>
    <col min="4100" max="4100" width="28.33203125" style="84" customWidth="1"/>
    <col min="4101" max="4101" width="12.6640625" style="84" bestFit="1" customWidth="1"/>
    <col min="4102" max="4352" width="22.88671875" style="84"/>
    <col min="4353" max="4353" width="22.6640625" style="84" bestFit="1" customWidth="1"/>
    <col min="4354" max="4354" width="13.44140625" style="84" bestFit="1" customWidth="1"/>
    <col min="4355" max="4355" width="7.33203125" style="84" bestFit="1" customWidth="1"/>
    <col min="4356" max="4356" width="28.33203125" style="84" customWidth="1"/>
    <col min="4357" max="4357" width="12.6640625" style="84" bestFit="1" customWidth="1"/>
    <col min="4358" max="4608" width="22.88671875" style="84"/>
    <col min="4609" max="4609" width="22.6640625" style="84" bestFit="1" customWidth="1"/>
    <col min="4610" max="4610" width="13.44140625" style="84" bestFit="1" customWidth="1"/>
    <col min="4611" max="4611" width="7.33203125" style="84" bestFit="1" customWidth="1"/>
    <col min="4612" max="4612" width="28.33203125" style="84" customWidth="1"/>
    <col min="4613" max="4613" width="12.6640625" style="84" bestFit="1" customWidth="1"/>
    <col min="4614" max="4864" width="22.88671875" style="84"/>
    <col min="4865" max="4865" width="22.6640625" style="84" bestFit="1" customWidth="1"/>
    <col min="4866" max="4866" width="13.44140625" style="84" bestFit="1" customWidth="1"/>
    <col min="4867" max="4867" width="7.33203125" style="84" bestFit="1" customWidth="1"/>
    <col min="4868" max="4868" width="28.33203125" style="84" customWidth="1"/>
    <col min="4869" max="4869" width="12.6640625" style="84" bestFit="1" customWidth="1"/>
    <col min="4870" max="5120" width="22.88671875" style="84"/>
    <col min="5121" max="5121" width="22.6640625" style="84" bestFit="1" customWidth="1"/>
    <col min="5122" max="5122" width="13.44140625" style="84" bestFit="1" customWidth="1"/>
    <col min="5123" max="5123" width="7.33203125" style="84" bestFit="1" customWidth="1"/>
    <col min="5124" max="5124" width="28.33203125" style="84" customWidth="1"/>
    <col min="5125" max="5125" width="12.6640625" style="84" bestFit="1" customWidth="1"/>
    <col min="5126" max="5376" width="22.88671875" style="84"/>
    <col min="5377" max="5377" width="22.6640625" style="84" bestFit="1" customWidth="1"/>
    <col min="5378" max="5378" width="13.44140625" style="84" bestFit="1" customWidth="1"/>
    <col min="5379" max="5379" width="7.33203125" style="84" bestFit="1" customWidth="1"/>
    <col min="5380" max="5380" width="28.33203125" style="84" customWidth="1"/>
    <col min="5381" max="5381" width="12.6640625" style="84" bestFit="1" customWidth="1"/>
    <col min="5382" max="5632" width="22.88671875" style="84"/>
    <col min="5633" max="5633" width="22.6640625" style="84" bestFit="1" customWidth="1"/>
    <col min="5634" max="5634" width="13.44140625" style="84" bestFit="1" customWidth="1"/>
    <col min="5635" max="5635" width="7.33203125" style="84" bestFit="1" customWidth="1"/>
    <col min="5636" max="5636" width="28.33203125" style="84" customWidth="1"/>
    <col min="5637" max="5637" width="12.6640625" style="84" bestFit="1" customWidth="1"/>
    <col min="5638" max="5888" width="22.88671875" style="84"/>
    <col min="5889" max="5889" width="22.6640625" style="84" bestFit="1" customWidth="1"/>
    <col min="5890" max="5890" width="13.44140625" style="84" bestFit="1" customWidth="1"/>
    <col min="5891" max="5891" width="7.33203125" style="84" bestFit="1" customWidth="1"/>
    <col min="5892" max="5892" width="28.33203125" style="84" customWidth="1"/>
    <col min="5893" max="5893" width="12.6640625" style="84" bestFit="1" customWidth="1"/>
    <col min="5894" max="6144" width="22.88671875" style="84"/>
    <col min="6145" max="6145" width="22.6640625" style="84" bestFit="1" customWidth="1"/>
    <col min="6146" max="6146" width="13.44140625" style="84" bestFit="1" customWidth="1"/>
    <col min="6147" max="6147" width="7.33203125" style="84" bestFit="1" customWidth="1"/>
    <col min="6148" max="6148" width="28.33203125" style="84" customWidth="1"/>
    <col min="6149" max="6149" width="12.6640625" style="84" bestFit="1" customWidth="1"/>
    <col min="6150" max="6400" width="22.88671875" style="84"/>
    <col min="6401" max="6401" width="22.6640625" style="84" bestFit="1" customWidth="1"/>
    <col min="6402" max="6402" width="13.44140625" style="84" bestFit="1" customWidth="1"/>
    <col min="6403" max="6403" width="7.33203125" style="84" bestFit="1" customWidth="1"/>
    <col min="6404" max="6404" width="28.33203125" style="84" customWidth="1"/>
    <col min="6405" max="6405" width="12.6640625" style="84" bestFit="1" customWidth="1"/>
    <col min="6406" max="6656" width="22.88671875" style="84"/>
    <col min="6657" max="6657" width="22.6640625" style="84" bestFit="1" customWidth="1"/>
    <col min="6658" max="6658" width="13.44140625" style="84" bestFit="1" customWidth="1"/>
    <col min="6659" max="6659" width="7.33203125" style="84" bestFit="1" customWidth="1"/>
    <col min="6660" max="6660" width="28.33203125" style="84" customWidth="1"/>
    <col min="6661" max="6661" width="12.6640625" style="84" bestFit="1" customWidth="1"/>
    <col min="6662" max="6912" width="22.88671875" style="84"/>
    <col min="6913" max="6913" width="22.6640625" style="84" bestFit="1" customWidth="1"/>
    <col min="6914" max="6914" width="13.44140625" style="84" bestFit="1" customWidth="1"/>
    <col min="6915" max="6915" width="7.33203125" style="84" bestFit="1" customWidth="1"/>
    <col min="6916" max="6916" width="28.33203125" style="84" customWidth="1"/>
    <col min="6917" max="6917" width="12.6640625" style="84" bestFit="1" customWidth="1"/>
    <col min="6918" max="7168" width="22.88671875" style="84"/>
    <col min="7169" max="7169" width="22.6640625" style="84" bestFit="1" customWidth="1"/>
    <col min="7170" max="7170" width="13.44140625" style="84" bestFit="1" customWidth="1"/>
    <col min="7171" max="7171" width="7.33203125" style="84" bestFit="1" customWidth="1"/>
    <col min="7172" max="7172" width="28.33203125" style="84" customWidth="1"/>
    <col min="7173" max="7173" width="12.6640625" style="84" bestFit="1" customWidth="1"/>
    <col min="7174" max="7424" width="22.88671875" style="84"/>
    <col min="7425" max="7425" width="22.6640625" style="84" bestFit="1" customWidth="1"/>
    <col min="7426" max="7426" width="13.44140625" style="84" bestFit="1" customWidth="1"/>
    <col min="7427" max="7427" width="7.33203125" style="84" bestFit="1" customWidth="1"/>
    <col min="7428" max="7428" width="28.33203125" style="84" customWidth="1"/>
    <col min="7429" max="7429" width="12.6640625" style="84" bestFit="1" customWidth="1"/>
    <col min="7430" max="7680" width="22.88671875" style="84"/>
    <col min="7681" max="7681" width="22.6640625" style="84" bestFit="1" customWidth="1"/>
    <col min="7682" max="7682" width="13.44140625" style="84" bestFit="1" customWidth="1"/>
    <col min="7683" max="7683" width="7.33203125" style="84" bestFit="1" customWidth="1"/>
    <col min="7684" max="7684" width="28.33203125" style="84" customWidth="1"/>
    <col min="7685" max="7685" width="12.6640625" style="84" bestFit="1" customWidth="1"/>
    <col min="7686" max="7936" width="22.88671875" style="84"/>
    <col min="7937" max="7937" width="22.6640625" style="84" bestFit="1" customWidth="1"/>
    <col min="7938" max="7938" width="13.44140625" style="84" bestFit="1" customWidth="1"/>
    <col min="7939" max="7939" width="7.33203125" style="84" bestFit="1" customWidth="1"/>
    <col min="7940" max="7940" width="28.33203125" style="84" customWidth="1"/>
    <col min="7941" max="7941" width="12.6640625" style="84" bestFit="1" customWidth="1"/>
    <col min="7942" max="8192" width="22.88671875" style="84"/>
    <col min="8193" max="8193" width="22.6640625" style="84" bestFit="1" customWidth="1"/>
    <col min="8194" max="8194" width="13.44140625" style="84" bestFit="1" customWidth="1"/>
    <col min="8195" max="8195" width="7.33203125" style="84" bestFit="1" customWidth="1"/>
    <col min="8196" max="8196" width="28.33203125" style="84" customWidth="1"/>
    <col min="8197" max="8197" width="12.6640625" style="84" bestFit="1" customWidth="1"/>
    <col min="8198" max="8448" width="22.88671875" style="84"/>
    <col min="8449" max="8449" width="22.6640625" style="84" bestFit="1" customWidth="1"/>
    <col min="8450" max="8450" width="13.44140625" style="84" bestFit="1" customWidth="1"/>
    <col min="8451" max="8451" width="7.33203125" style="84" bestFit="1" customWidth="1"/>
    <col min="8452" max="8452" width="28.33203125" style="84" customWidth="1"/>
    <col min="8453" max="8453" width="12.6640625" style="84" bestFit="1" customWidth="1"/>
    <col min="8454" max="8704" width="22.88671875" style="84"/>
    <col min="8705" max="8705" width="22.6640625" style="84" bestFit="1" customWidth="1"/>
    <col min="8706" max="8706" width="13.44140625" style="84" bestFit="1" customWidth="1"/>
    <col min="8707" max="8707" width="7.33203125" style="84" bestFit="1" customWidth="1"/>
    <col min="8708" max="8708" width="28.33203125" style="84" customWidth="1"/>
    <col min="8709" max="8709" width="12.6640625" style="84" bestFit="1" customWidth="1"/>
    <col min="8710" max="8960" width="22.88671875" style="84"/>
    <col min="8961" max="8961" width="22.6640625" style="84" bestFit="1" customWidth="1"/>
    <col min="8962" max="8962" width="13.44140625" style="84" bestFit="1" customWidth="1"/>
    <col min="8963" max="8963" width="7.33203125" style="84" bestFit="1" customWidth="1"/>
    <col min="8964" max="8964" width="28.33203125" style="84" customWidth="1"/>
    <col min="8965" max="8965" width="12.6640625" style="84" bestFit="1" customWidth="1"/>
    <col min="8966" max="9216" width="22.88671875" style="84"/>
    <col min="9217" max="9217" width="22.6640625" style="84" bestFit="1" customWidth="1"/>
    <col min="9218" max="9218" width="13.44140625" style="84" bestFit="1" customWidth="1"/>
    <col min="9219" max="9219" width="7.33203125" style="84" bestFit="1" customWidth="1"/>
    <col min="9220" max="9220" width="28.33203125" style="84" customWidth="1"/>
    <col min="9221" max="9221" width="12.6640625" style="84" bestFit="1" customWidth="1"/>
    <col min="9222" max="9472" width="22.88671875" style="84"/>
    <col min="9473" max="9473" width="22.6640625" style="84" bestFit="1" customWidth="1"/>
    <col min="9474" max="9474" width="13.44140625" style="84" bestFit="1" customWidth="1"/>
    <col min="9475" max="9475" width="7.33203125" style="84" bestFit="1" customWidth="1"/>
    <col min="9476" max="9476" width="28.33203125" style="84" customWidth="1"/>
    <col min="9477" max="9477" width="12.6640625" style="84" bestFit="1" customWidth="1"/>
    <col min="9478" max="9728" width="22.88671875" style="84"/>
    <col min="9729" max="9729" width="22.6640625" style="84" bestFit="1" customWidth="1"/>
    <col min="9730" max="9730" width="13.44140625" style="84" bestFit="1" customWidth="1"/>
    <col min="9731" max="9731" width="7.33203125" style="84" bestFit="1" customWidth="1"/>
    <col min="9732" max="9732" width="28.33203125" style="84" customWidth="1"/>
    <col min="9733" max="9733" width="12.6640625" style="84" bestFit="1" customWidth="1"/>
    <col min="9734" max="9984" width="22.88671875" style="84"/>
    <col min="9985" max="9985" width="22.6640625" style="84" bestFit="1" customWidth="1"/>
    <col min="9986" max="9986" width="13.44140625" style="84" bestFit="1" customWidth="1"/>
    <col min="9987" max="9987" width="7.33203125" style="84" bestFit="1" customWidth="1"/>
    <col min="9988" max="9988" width="28.33203125" style="84" customWidth="1"/>
    <col min="9989" max="9989" width="12.6640625" style="84" bestFit="1" customWidth="1"/>
    <col min="9990" max="10240" width="22.88671875" style="84"/>
    <col min="10241" max="10241" width="22.6640625" style="84" bestFit="1" customWidth="1"/>
    <col min="10242" max="10242" width="13.44140625" style="84" bestFit="1" customWidth="1"/>
    <col min="10243" max="10243" width="7.33203125" style="84" bestFit="1" customWidth="1"/>
    <col min="10244" max="10244" width="28.33203125" style="84" customWidth="1"/>
    <col min="10245" max="10245" width="12.6640625" style="84" bestFit="1" customWidth="1"/>
    <col min="10246" max="10496" width="22.88671875" style="84"/>
    <col min="10497" max="10497" width="22.6640625" style="84" bestFit="1" customWidth="1"/>
    <col min="10498" max="10498" width="13.44140625" style="84" bestFit="1" customWidth="1"/>
    <col min="10499" max="10499" width="7.33203125" style="84" bestFit="1" customWidth="1"/>
    <col min="10500" max="10500" width="28.33203125" style="84" customWidth="1"/>
    <col min="10501" max="10501" width="12.6640625" style="84" bestFit="1" customWidth="1"/>
    <col min="10502" max="10752" width="22.88671875" style="84"/>
    <col min="10753" max="10753" width="22.6640625" style="84" bestFit="1" customWidth="1"/>
    <col min="10754" max="10754" width="13.44140625" style="84" bestFit="1" customWidth="1"/>
    <col min="10755" max="10755" width="7.33203125" style="84" bestFit="1" customWidth="1"/>
    <col min="10756" max="10756" width="28.33203125" style="84" customWidth="1"/>
    <col min="10757" max="10757" width="12.6640625" style="84" bestFit="1" customWidth="1"/>
    <col min="10758" max="11008" width="22.88671875" style="84"/>
    <col min="11009" max="11009" width="22.6640625" style="84" bestFit="1" customWidth="1"/>
    <col min="11010" max="11010" width="13.44140625" style="84" bestFit="1" customWidth="1"/>
    <col min="11011" max="11011" width="7.33203125" style="84" bestFit="1" customWidth="1"/>
    <col min="11012" max="11012" width="28.33203125" style="84" customWidth="1"/>
    <col min="11013" max="11013" width="12.6640625" style="84" bestFit="1" customWidth="1"/>
    <col min="11014" max="11264" width="22.88671875" style="84"/>
    <col min="11265" max="11265" width="22.6640625" style="84" bestFit="1" customWidth="1"/>
    <col min="11266" max="11266" width="13.44140625" style="84" bestFit="1" customWidth="1"/>
    <col min="11267" max="11267" width="7.33203125" style="84" bestFit="1" customWidth="1"/>
    <col min="11268" max="11268" width="28.33203125" style="84" customWidth="1"/>
    <col min="11269" max="11269" width="12.6640625" style="84" bestFit="1" customWidth="1"/>
    <col min="11270" max="11520" width="22.88671875" style="84"/>
    <col min="11521" max="11521" width="22.6640625" style="84" bestFit="1" customWidth="1"/>
    <col min="11522" max="11522" width="13.44140625" style="84" bestFit="1" customWidth="1"/>
    <col min="11523" max="11523" width="7.33203125" style="84" bestFit="1" customWidth="1"/>
    <col min="11524" max="11524" width="28.33203125" style="84" customWidth="1"/>
    <col min="11525" max="11525" width="12.6640625" style="84" bestFit="1" customWidth="1"/>
    <col min="11526" max="11776" width="22.88671875" style="84"/>
    <col min="11777" max="11777" width="22.6640625" style="84" bestFit="1" customWidth="1"/>
    <col min="11778" max="11778" width="13.44140625" style="84" bestFit="1" customWidth="1"/>
    <col min="11779" max="11779" width="7.33203125" style="84" bestFit="1" customWidth="1"/>
    <col min="11780" max="11780" width="28.33203125" style="84" customWidth="1"/>
    <col min="11781" max="11781" width="12.6640625" style="84" bestFit="1" customWidth="1"/>
    <col min="11782" max="12032" width="22.88671875" style="84"/>
    <col min="12033" max="12033" width="22.6640625" style="84" bestFit="1" customWidth="1"/>
    <col min="12034" max="12034" width="13.44140625" style="84" bestFit="1" customWidth="1"/>
    <col min="12035" max="12035" width="7.33203125" style="84" bestFit="1" customWidth="1"/>
    <col min="12036" max="12036" width="28.33203125" style="84" customWidth="1"/>
    <col min="12037" max="12037" width="12.6640625" style="84" bestFit="1" customWidth="1"/>
    <col min="12038" max="12288" width="22.88671875" style="84"/>
    <col min="12289" max="12289" width="22.6640625" style="84" bestFit="1" customWidth="1"/>
    <col min="12290" max="12290" width="13.44140625" style="84" bestFit="1" customWidth="1"/>
    <col min="12291" max="12291" width="7.33203125" style="84" bestFit="1" customWidth="1"/>
    <col min="12292" max="12292" width="28.33203125" style="84" customWidth="1"/>
    <col min="12293" max="12293" width="12.6640625" style="84" bestFit="1" customWidth="1"/>
    <col min="12294" max="12544" width="22.88671875" style="84"/>
    <col min="12545" max="12545" width="22.6640625" style="84" bestFit="1" customWidth="1"/>
    <col min="12546" max="12546" width="13.44140625" style="84" bestFit="1" customWidth="1"/>
    <col min="12547" max="12547" width="7.33203125" style="84" bestFit="1" customWidth="1"/>
    <col min="12548" max="12548" width="28.33203125" style="84" customWidth="1"/>
    <col min="12549" max="12549" width="12.6640625" style="84" bestFit="1" customWidth="1"/>
    <col min="12550" max="12800" width="22.88671875" style="84"/>
    <col min="12801" max="12801" width="22.6640625" style="84" bestFit="1" customWidth="1"/>
    <col min="12802" max="12802" width="13.44140625" style="84" bestFit="1" customWidth="1"/>
    <col min="12803" max="12803" width="7.33203125" style="84" bestFit="1" customWidth="1"/>
    <col min="12804" max="12804" width="28.33203125" style="84" customWidth="1"/>
    <col min="12805" max="12805" width="12.6640625" style="84" bestFit="1" customWidth="1"/>
    <col min="12806" max="13056" width="22.88671875" style="84"/>
    <col min="13057" max="13057" width="22.6640625" style="84" bestFit="1" customWidth="1"/>
    <col min="13058" max="13058" width="13.44140625" style="84" bestFit="1" customWidth="1"/>
    <col min="13059" max="13059" width="7.33203125" style="84" bestFit="1" customWidth="1"/>
    <col min="13060" max="13060" width="28.33203125" style="84" customWidth="1"/>
    <col min="13061" max="13061" width="12.6640625" style="84" bestFit="1" customWidth="1"/>
    <col min="13062" max="13312" width="22.88671875" style="84"/>
    <col min="13313" max="13313" width="22.6640625" style="84" bestFit="1" customWidth="1"/>
    <col min="13314" max="13314" width="13.44140625" style="84" bestFit="1" customWidth="1"/>
    <col min="13315" max="13315" width="7.33203125" style="84" bestFit="1" customWidth="1"/>
    <col min="13316" max="13316" width="28.33203125" style="84" customWidth="1"/>
    <col min="13317" max="13317" width="12.6640625" style="84" bestFit="1" customWidth="1"/>
    <col min="13318" max="13568" width="22.88671875" style="84"/>
    <col min="13569" max="13569" width="22.6640625" style="84" bestFit="1" customWidth="1"/>
    <col min="13570" max="13570" width="13.44140625" style="84" bestFit="1" customWidth="1"/>
    <col min="13571" max="13571" width="7.33203125" style="84" bestFit="1" customWidth="1"/>
    <col min="13572" max="13572" width="28.33203125" style="84" customWidth="1"/>
    <col min="13573" max="13573" width="12.6640625" style="84" bestFit="1" customWidth="1"/>
    <col min="13574" max="13824" width="22.88671875" style="84"/>
    <col min="13825" max="13825" width="22.6640625" style="84" bestFit="1" customWidth="1"/>
    <col min="13826" max="13826" width="13.44140625" style="84" bestFit="1" customWidth="1"/>
    <col min="13827" max="13827" width="7.33203125" style="84" bestFit="1" customWidth="1"/>
    <col min="13828" max="13828" width="28.33203125" style="84" customWidth="1"/>
    <col min="13829" max="13829" width="12.6640625" style="84" bestFit="1" customWidth="1"/>
    <col min="13830" max="14080" width="22.88671875" style="84"/>
    <col min="14081" max="14081" width="22.6640625" style="84" bestFit="1" customWidth="1"/>
    <col min="14082" max="14082" width="13.44140625" style="84" bestFit="1" customWidth="1"/>
    <col min="14083" max="14083" width="7.33203125" style="84" bestFit="1" customWidth="1"/>
    <col min="14084" max="14084" width="28.33203125" style="84" customWidth="1"/>
    <col min="14085" max="14085" width="12.6640625" style="84" bestFit="1" customWidth="1"/>
    <col min="14086" max="14336" width="22.88671875" style="84"/>
    <col min="14337" max="14337" width="22.6640625" style="84" bestFit="1" customWidth="1"/>
    <col min="14338" max="14338" width="13.44140625" style="84" bestFit="1" customWidth="1"/>
    <col min="14339" max="14339" width="7.33203125" style="84" bestFit="1" customWidth="1"/>
    <col min="14340" max="14340" width="28.33203125" style="84" customWidth="1"/>
    <col min="14341" max="14341" width="12.6640625" style="84" bestFit="1" customWidth="1"/>
    <col min="14342" max="14592" width="22.88671875" style="84"/>
    <col min="14593" max="14593" width="22.6640625" style="84" bestFit="1" customWidth="1"/>
    <col min="14594" max="14594" width="13.44140625" style="84" bestFit="1" customWidth="1"/>
    <col min="14595" max="14595" width="7.33203125" style="84" bestFit="1" customWidth="1"/>
    <col min="14596" max="14596" width="28.33203125" style="84" customWidth="1"/>
    <col min="14597" max="14597" width="12.6640625" style="84" bestFit="1" customWidth="1"/>
    <col min="14598" max="14848" width="22.88671875" style="84"/>
    <col min="14849" max="14849" width="22.6640625" style="84" bestFit="1" customWidth="1"/>
    <col min="14850" max="14850" width="13.44140625" style="84" bestFit="1" customWidth="1"/>
    <col min="14851" max="14851" width="7.33203125" style="84" bestFit="1" customWidth="1"/>
    <col min="14852" max="14852" width="28.33203125" style="84" customWidth="1"/>
    <col min="14853" max="14853" width="12.6640625" style="84" bestFit="1" customWidth="1"/>
    <col min="14854" max="15104" width="22.88671875" style="84"/>
    <col min="15105" max="15105" width="22.6640625" style="84" bestFit="1" customWidth="1"/>
    <col min="15106" max="15106" width="13.44140625" style="84" bestFit="1" customWidth="1"/>
    <col min="15107" max="15107" width="7.33203125" style="84" bestFit="1" customWidth="1"/>
    <col min="15108" max="15108" width="28.33203125" style="84" customWidth="1"/>
    <col min="15109" max="15109" width="12.6640625" style="84" bestFit="1" customWidth="1"/>
    <col min="15110" max="15360" width="22.88671875" style="84"/>
    <col min="15361" max="15361" width="22.6640625" style="84" bestFit="1" customWidth="1"/>
    <col min="15362" max="15362" width="13.44140625" style="84" bestFit="1" customWidth="1"/>
    <col min="15363" max="15363" width="7.33203125" style="84" bestFit="1" customWidth="1"/>
    <col min="15364" max="15364" width="28.33203125" style="84" customWidth="1"/>
    <col min="15365" max="15365" width="12.6640625" style="84" bestFit="1" customWidth="1"/>
    <col min="15366" max="15616" width="22.88671875" style="84"/>
    <col min="15617" max="15617" width="22.6640625" style="84" bestFit="1" customWidth="1"/>
    <col min="15618" max="15618" width="13.44140625" style="84" bestFit="1" customWidth="1"/>
    <col min="15619" max="15619" width="7.33203125" style="84" bestFit="1" customWidth="1"/>
    <col min="15620" max="15620" width="28.33203125" style="84" customWidth="1"/>
    <col min="15621" max="15621" width="12.6640625" style="84" bestFit="1" customWidth="1"/>
    <col min="15622" max="15872" width="22.88671875" style="84"/>
    <col min="15873" max="15873" width="22.6640625" style="84" bestFit="1" customWidth="1"/>
    <col min="15874" max="15874" width="13.44140625" style="84" bestFit="1" customWidth="1"/>
    <col min="15875" max="15875" width="7.33203125" style="84" bestFit="1" customWidth="1"/>
    <col min="15876" max="15876" width="28.33203125" style="84" customWidth="1"/>
    <col min="15877" max="15877" width="12.6640625" style="84" bestFit="1" customWidth="1"/>
    <col min="15878" max="16128" width="22.88671875" style="84"/>
    <col min="16129" max="16129" width="22.6640625" style="84" bestFit="1" customWidth="1"/>
    <col min="16130" max="16130" width="13.44140625" style="84" bestFit="1" customWidth="1"/>
    <col min="16131" max="16131" width="7.33203125" style="84" bestFit="1" customWidth="1"/>
    <col min="16132" max="16132" width="28.33203125" style="84" customWidth="1"/>
    <col min="16133" max="16133" width="12.6640625" style="84" bestFit="1" customWidth="1"/>
    <col min="16134" max="16384" width="22.88671875" style="84"/>
  </cols>
  <sheetData>
    <row r="1" spans="1:6" x14ac:dyDescent="0.25">
      <c r="A1" s="93" t="s">
        <v>147</v>
      </c>
      <c r="B1" s="94">
        <f>B7/(1+B3)^B6</f>
        <v>252572.46819458736</v>
      </c>
    </row>
    <row r="2" spans="1:6" x14ac:dyDescent="0.25">
      <c r="A2" s="93" t="s">
        <v>136</v>
      </c>
      <c r="B2" s="85">
        <v>7.0000000000000007E-2</v>
      </c>
    </row>
    <row r="3" spans="1:6" x14ac:dyDescent="0.25">
      <c r="A3" s="93" t="s">
        <v>137</v>
      </c>
      <c r="B3" s="86">
        <f>B2/B5</f>
        <v>3.5000000000000003E-2</v>
      </c>
    </row>
    <row r="4" spans="1:6" x14ac:dyDescent="0.25">
      <c r="A4" s="93" t="s">
        <v>10</v>
      </c>
      <c r="B4" s="87">
        <v>20</v>
      </c>
    </row>
    <row r="5" spans="1:6" x14ac:dyDescent="0.25">
      <c r="A5" s="93" t="s">
        <v>138</v>
      </c>
      <c r="B5" s="87">
        <v>2</v>
      </c>
    </row>
    <row r="6" spans="1:6" x14ac:dyDescent="0.25">
      <c r="A6" s="93" t="s">
        <v>12</v>
      </c>
      <c r="B6" s="86">
        <f>B4*B5</f>
        <v>40</v>
      </c>
    </row>
    <row r="7" spans="1:6" x14ac:dyDescent="0.25">
      <c r="A7" s="93" t="s">
        <v>148</v>
      </c>
      <c r="B7" s="95">
        <v>1000000</v>
      </c>
      <c r="E7" s="96"/>
    </row>
    <row r="12" spans="1:6" s="88" customFormat="1" ht="52.95" x14ac:dyDescent="0.25">
      <c r="C12" s="89" t="s">
        <v>48</v>
      </c>
      <c r="D12" s="89" t="s">
        <v>149</v>
      </c>
      <c r="E12" s="89" t="s">
        <v>142</v>
      </c>
    </row>
    <row r="13" spans="1:6" x14ac:dyDescent="0.25">
      <c r="C13" s="90">
        <v>0</v>
      </c>
      <c r="D13" s="86"/>
      <c r="E13" s="97">
        <f>B1</f>
        <v>252572.46819458736</v>
      </c>
      <c r="F13" s="98"/>
    </row>
    <row r="14" spans="1:6" x14ac:dyDescent="0.25">
      <c r="C14" s="86">
        <f>C13+1</f>
        <v>1</v>
      </c>
      <c r="D14" s="99">
        <f>E14-E13</f>
        <v>8840.0363868105342</v>
      </c>
      <c r="E14" s="99">
        <f t="shared" ref="E14:E53" si="0">E13*(1+B$3)</f>
        <v>261412.50458139789</v>
      </c>
      <c r="F14" s="96"/>
    </row>
    <row r="15" spans="1:6" x14ac:dyDescent="0.25">
      <c r="C15" s="86">
        <f t="shared" ref="C15:C53" si="1">C14+1</f>
        <v>2</v>
      </c>
      <c r="D15" s="99">
        <f t="shared" ref="D15:D53" si="2">E15-E14</f>
        <v>9149.4376603489218</v>
      </c>
      <c r="E15" s="99">
        <f t="shared" si="0"/>
        <v>270561.94224174682</v>
      </c>
      <c r="F15" s="96"/>
    </row>
    <row r="16" spans="1:6" x14ac:dyDescent="0.25">
      <c r="C16" s="86">
        <f t="shared" si="1"/>
        <v>3</v>
      </c>
      <c r="D16" s="99">
        <f>E16-E15</f>
        <v>9469.6679784611333</v>
      </c>
      <c r="E16" s="99">
        <f>E15*(1+B$3)</f>
        <v>280031.61022020795</v>
      </c>
    </row>
    <row r="17" spans="3:5" x14ac:dyDescent="0.25">
      <c r="C17" s="86">
        <f t="shared" si="1"/>
        <v>4</v>
      </c>
      <c r="D17" s="99">
        <f t="shared" si="2"/>
        <v>9801.1063577072346</v>
      </c>
      <c r="E17" s="99">
        <f t="shared" si="0"/>
        <v>289832.71657791518</v>
      </c>
    </row>
    <row r="18" spans="3:5" x14ac:dyDescent="0.25">
      <c r="C18" s="86">
        <f t="shared" si="1"/>
        <v>5</v>
      </c>
      <c r="D18" s="99">
        <f t="shared" si="2"/>
        <v>10144.145080226997</v>
      </c>
      <c r="E18" s="99">
        <f t="shared" si="0"/>
        <v>299976.86165814218</v>
      </c>
    </row>
    <row r="19" spans="3:5" x14ac:dyDescent="0.25">
      <c r="C19" s="86">
        <f t="shared" si="1"/>
        <v>6</v>
      </c>
      <c r="D19" s="99">
        <f t="shared" si="2"/>
        <v>10499.190158034966</v>
      </c>
      <c r="E19" s="99">
        <f t="shared" si="0"/>
        <v>310476.05181617715</v>
      </c>
    </row>
    <row r="20" spans="3:5" x14ac:dyDescent="0.25">
      <c r="C20" s="86">
        <f t="shared" si="1"/>
        <v>7</v>
      </c>
      <c r="D20" s="99">
        <f t="shared" si="2"/>
        <v>10866.66181356617</v>
      </c>
      <c r="E20" s="99">
        <f t="shared" si="0"/>
        <v>321342.71362974332</v>
      </c>
    </row>
    <row r="21" spans="3:5" x14ac:dyDescent="0.25">
      <c r="C21" s="86">
        <f t="shared" si="1"/>
        <v>8</v>
      </c>
      <c r="D21" s="99">
        <f t="shared" si="2"/>
        <v>11246.994977040973</v>
      </c>
      <c r="E21" s="99">
        <f t="shared" si="0"/>
        <v>332589.70860678429</v>
      </c>
    </row>
    <row r="22" spans="3:5" x14ac:dyDescent="0.25">
      <c r="C22" s="86">
        <f t="shared" si="1"/>
        <v>9</v>
      </c>
      <c r="D22" s="99">
        <f t="shared" si="2"/>
        <v>11640.639801237441</v>
      </c>
      <c r="E22" s="99">
        <f t="shared" si="0"/>
        <v>344230.34840802173</v>
      </c>
    </row>
    <row r="23" spans="3:5" x14ac:dyDescent="0.25">
      <c r="C23" s="86">
        <f t="shared" si="1"/>
        <v>10</v>
      </c>
      <c r="D23" s="99">
        <f t="shared" si="2"/>
        <v>12048.062194280734</v>
      </c>
      <c r="E23" s="99">
        <f t="shared" si="0"/>
        <v>356278.41060230247</v>
      </c>
    </row>
    <row r="24" spans="3:5" x14ac:dyDescent="0.25">
      <c r="C24" s="86">
        <f t="shared" si="1"/>
        <v>11</v>
      </c>
      <c r="D24" s="99">
        <f t="shared" si="2"/>
        <v>12469.744371080538</v>
      </c>
      <c r="E24" s="99">
        <f t="shared" si="0"/>
        <v>368748.154973383</v>
      </c>
    </row>
    <row r="25" spans="3:5" x14ac:dyDescent="0.25">
      <c r="C25" s="86">
        <f t="shared" si="1"/>
        <v>12</v>
      </c>
      <c r="D25" s="99">
        <f t="shared" si="2"/>
        <v>12906.185424068361</v>
      </c>
      <c r="E25" s="99">
        <f t="shared" si="0"/>
        <v>381654.34039745136</v>
      </c>
    </row>
    <row r="26" spans="3:5" x14ac:dyDescent="0.25">
      <c r="C26" s="86">
        <f t="shared" si="1"/>
        <v>13</v>
      </c>
      <c r="D26" s="99">
        <f t="shared" si="2"/>
        <v>13357.901913910755</v>
      </c>
      <c r="E26" s="99">
        <f t="shared" si="0"/>
        <v>395012.24231136212</v>
      </c>
    </row>
    <row r="27" spans="3:5" x14ac:dyDescent="0.25">
      <c r="C27" s="86">
        <f t="shared" si="1"/>
        <v>14</v>
      </c>
      <c r="D27" s="99">
        <f t="shared" si="2"/>
        <v>13825.428480897623</v>
      </c>
      <c r="E27" s="99">
        <f t="shared" si="0"/>
        <v>408837.67079225974</v>
      </c>
    </row>
    <row r="28" spans="3:5" x14ac:dyDescent="0.25">
      <c r="C28" s="86">
        <f t="shared" si="1"/>
        <v>15</v>
      </c>
      <c r="D28" s="99">
        <f t="shared" si="2"/>
        <v>14309.318477729044</v>
      </c>
      <c r="E28" s="99">
        <f t="shared" si="0"/>
        <v>423146.98926998879</v>
      </c>
    </row>
    <row r="29" spans="3:5" x14ac:dyDescent="0.25">
      <c r="C29" s="86">
        <f t="shared" si="1"/>
        <v>16</v>
      </c>
      <c r="D29" s="99">
        <f t="shared" si="2"/>
        <v>14810.144624449546</v>
      </c>
      <c r="E29" s="99">
        <f t="shared" si="0"/>
        <v>437957.13389443833</v>
      </c>
    </row>
    <row r="30" spans="3:5" x14ac:dyDescent="0.25">
      <c r="C30" s="86">
        <f t="shared" si="1"/>
        <v>17</v>
      </c>
      <c r="D30" s="99">
        <f t="shared" si="2"/>
        <v>15328.499686305295</v>
      </c>
      <c r="E30" s="99">
        <f t="shared" si="0"/>
        <v>453285.63358074363</v>
      </c>
    </row>
    <row r="31" spans="3:5" x14ac:dyDescent="0.25">
      <c r="C31" s="86">
        <f t="shared" si="1"/>
        <v>18</v>
      </c>
      <c r="D31" s="99">
        <f t="shared" si="2"/>
        <v>15864.997175325989</v>
      </c>
      <c r="E31" s="99">
        <f t="shared" si="0"/>
        <v>469150.63075606962</v>
      </c>
    </row>
    <row r="32" spans="3:5" x14ac:dyDescent="0.25">
      <c r="C32" s="86">
        <f t="shared" si="1"/>
        <v>19</v>
      </c>
      <c r="D32" s="99">
        <f t="shared" si="2"/>
        <v>16420.272076462395</v>
      </c>
      <c r="E32" s="99">
        <f t="shared" si="0"/>
        <v>485570.90283253201</v>
      </c>
    </row>
    <row r="33" spans="3:5" x14ac:dyDescent="0.25">
      <c r="C33" s="86">
        <f t="shared" si="1"/>
        <v>20</v>
      </c>
      <c r="D33" s="99">
        <f t="shared" si="2"/>
        <v>16994.981599138584</v>
      </c>
      <c r="E33" s="99">
        <f t="shared" si="0"/>
        <v>502565.88443167059</v>
      </c>
    </row>
    <row r="34" spans="3:5" x14ac:dyDescent="0.25">
      <c r="C34" s="86">
        <f t="shared" si="1"/>
        <v>21</v>
      </c>
      <c r="D34" s="99">
        <f t="shared" si="2"/>
        <v>17589.80595510843</v>
      </c>
      <c r="E34" s="99">
        <f t="shared" si="0"/>
        <v>520155.69038677902</v>
      </c>
    </row>
    <row r="35" spans="3:5" x14ac:dyDescent="0.25">
      <c r="C35" s="86">
        <f t="shared" si="1"/>
        <v>22</v>
      </c>
      <c r="D35" s="99">
        <f t="shared" si="2"/>
        <v>18205.44916353724</v>
      </c>
      <c r="E35" s="99">
        <f t="shared" si="0"/>
        <v>538361.13955031626</v>
      </c>
    </row>
    <row r="36" spans="3:5" x14ac:dyDescent="0.25">
      <c r="C36" s="86">
        <f t="shared" si="1"/>
        <v>23</v>
      </c>
      <c r="D36" s="99">
        <f t="shared" si="2"/>
        <v>18842.639884261065</v>
      </c>
      <c r="E36" s="99">
        <f t="shared" si="0"/>
        <v>557203.77943457733</v>
      </c>
    </row>
    <row r="37" spans="3:5" x14ac:dyDescent="0.25">
      <c r="C37" s="86">
        <f t="shared" si="1"/>
        <v>24</v>
      </c>
      <c r="D37" s="99">
        <f t="shared" si="2"/>
        <v>19502.132280210149</v>
      </c>
      <c r="E37" s="99">
        <f t="shared" si="0"/>
        <v>576705.91171478748</v>
      </c>
    </row>
    <row r="38" spans="3:5" x14ac:dyDescent="0.25">
      <c r="C38" s="86">
        <f t="shared" si="1"/>
        <v>25</v>
      </c>
      <c r="D38" s="99">
        <f t="shared" si="2"/>
        <v>20184.706910017529</v>
      </c>
      <c r="E38" s="99">
        <f t="shared" si="0"/>
        <v>596890.61862480501</v>
      </c>
    </row>
    <row r="39" spans="3:5" x14ac:dyDescent="0.25">
      <c r="C39" s="86">
        <f t="shared" si="1"/>
        <v>26</v>
      </c>
      <c r="D39" s="99">
        <f t="shared" si="2"/>
        <v>20891.17165186815</v>
      </c>
      <c r="E39" s="99">
        <f t="shared" si="0"/>
        <v>617781.79027667316</v>
      </c>
    </row>
    <row r="40" spans="3:5" x14ac:dyDescent="0.25">
      <c r="C40" s="86">
        <f t="shared" si="1"/>
        <v>27</v>
      </c>
      <c r="D40" s="99">
        <f t="shared" si="2"/>
        <v>21622.362659683567</v>
      </c>
      <c r="E40" s="99">
        <f t="shared" si="0"/>
        <v>639404.15293635672</v>
      </c>
    </row>
    <row r="41" spans="3:5" x14ac:dyDescent="0.25">
      <c r="C41" s="86">
        <f t="shared" si="1"/>
        <v>28</v>
      </c>
      <c r="D41" s="99">
        <f t="shared" si="2"/>
        <v>22379.145352772437</v>
      </c>
      <c r="E41" s="99">
        <f t="shared" si="0"/>
        <v>661783.29828912916</v>
      </c>
    </row>
    <row r="42" spans="3:5" x14ac:dyDescent="0.25">
      <c r="C42" s="86">
        <f t="shared" si="1"/>
        <v>29</v>
      </c>
      <c r="D42" s="99">
        <f t="shared" si="2"/>
        <v>23162.415440119454</v>
      </c>
      <c r="E42" s="99">
        <f t="shared" si="0"/>
        <v>684945.71372924861</v>
      </c>
    </row>
    <row r="43" spans="3:5" x14ac:dyDescent="0.25">
      <c r="C43" s="86">
        <f t="shared" si="1"/>
        <v>30</v>
      </c>
      <c r="D43" s="99">
        <f t="shared" si="2"/>
        <v>23973.099980523693</v>
      </c>
      <c r="E43" s="99">
        <f t="shared" si="0"/>
        <v>708918.81370977231</v>
      </c>
    </row>
    <row r="44" spans="3:5" x14ac:dyDescent="0.25">
      <c r="C44" s="86">
        <f t="shared" si="1"/>
        <v>31</v>
      </c>
      <c r="D44" s="99">
        <f t="shared" si="2"/>
        <v>24812.158479842008</v>
      </c>
      <c r="E44" s="99">
        <f t="shared" si="0"/>
        <v>733730.97218961432</v>
      </c>
    </row>
    <row r="45" spans="3:5" x14ac:dyDescent="0.25">
      <c r="C45" s="86">
        <f t="shared" si="1"/>
        <v>32</v>
      </c>
      <c r="D45" s="99">
        <f t="shared" si="2"/>
        <v>25680.584026636439</v>
      </c>
      <c r="E45" s="99">
        <f t="shared" si="0"/>
        <v>759411.55621625076</v>
      </c>
    </row>
    <row r="46" spans="3:5" x14ac:dyDescent="0.25">
      <c r="C46" s="86">
        <f t="shared" si="1"/>
        <v>33</v>
      </c>
      <c r="D46" s="99">
        <f t="shared" si="2"/>
        <v>26579.404467568733</v>
      </c>
      <c r="E46" s="99">
        <f t="shared" si="0"/>
        <v>785990.96068381949</v>
      </c>
    </row>
    <row r="47" spans="3:5" x14ac:dyDescent="0.25">
      <c r="C47" s="86">
        <f t="shared" si="1"/>
        <v>34</v>
      </c>
      <c r="D47" s="99">
        <f t="shared" si="2"/>
        <v>27509.683623933583</v>
      </c>
      <c r="E47" s="99">
        <f t="shared" si="0"/>
        <v>813500.64430775307</v>
      </c>
    </row>
    <row r="48" spans="3:5" x14ac:dyDescent="0.25">
      <c r="C48" s="86">
        <f t="shared" si="1"/>
        <v>35</v>
      </c>
      <c r="D48" s="99">
        <f t="shared" si="2"/>
        <v>28472.522550771246</v>
      </c>
      <c r="E48" s="99">
        <f t="shared" si="0"/>
        <v>841973.16685852432</v>
      </c>
    </row>
    <row r="49" spans="3:5" x14ac:dyDescent="0.25">
      <c r="C49" s="86">
        <f t="shared" si="1"/>
        <v>36</v>
      </c>
      <c r="D49" s="99">
        <f t="shared" si="2"/>
        <v>29469.060840048245</v>
      </c>
      <c r="E49" s="99">
        <f t="shared" si="0"/>
        <v>871442.22769857256</v>
      </c>
    </row>
    <row r="50" spans="3:5" x14ac:dyDescent="0.25">
      <c r="C50" s="86">
        <f t="shared" si="1"/>
        <v>37</v>
      </c>
      <c r="D50" s="99">
        <f t="shared" si="2"/>
        <v>30500.477969449945</v>
      </c>
      <c r="E50" s="99">
        <f t="shared" si="0"/>
        <v>901942.70566802251</v>
      </c>
    </row>
    <row r="51" spans="3:5" x14ac:dyDescent="0.25">
      <c r="C51" s="86">
        <f t="shared" si="1"/>
        <v>38</v>
      </c>
      <c r="D51" s="99">
        <f t="shared" si="2"/>
        <v>31567.994698380702</v>
      </c>
      <c r="E51" s="99">
        <f t="shared" si="0"/>
        <v>933510.70036640321</v>
      </c>
    </row>
    <row r="52" spans="3:5" x14ac:dyDescent="0.25">
      <c r="C52" s="86">
        <f t="shared" si="1"/>
        <v>39</v>
      </c>
      <c r="D52" s="99">
        <f t="shared" si="2"/>
        <v>32672.874512823997</v>
      </c>
      <c r="E52" s="99">
        <f t="shared" si="0"/>
        <v>966183.57487922721</v>
      </c>
    </row>
    <row r="53" spans="3:5" x14ac:dyDescent="0.25">
      <c r="C53" s="86">
        <f t="shared" si="1"/>
        <v>40</v>
      </c>
      <c r="D53" s="99">
        <f t="shared" si="2"/>
        <v>33816.42512077291</v>
      </c>
      <c r="E53" s="100">
        <f t="shared" si="0"/>
        <v>1000000.0000000001</v>
      </c>
    </row>
  </sheetData>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B15" sqref="B15"/>
    </sheetView>
  </sheetViews>
  <sheetFormatPr defaultRowHeight="14.4" x14ac:dyDescent="0.3"/>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12"/>
  <sheetViews>
    <sheetView workbookViewId="0">
      <selection activeCell="B15" sqref="B15"/>
    </sheetView>
  </sheetViews>
  <sheetFormatPr defaultRowHeight="14.4" x14ac:dyDescent="0.3"/>
  <cols>
    <col min="1" max="1" width="22.88671875" bestFit="1" customWidth="1"/>
    <col min="2" max="2" width="12.6640625" bestFit="1" customWidth="1"/>
    <col min="3" max="3" width="5.33203125" bestFit="1" customWidth="1"/>
    <col min="4" max="4" width="18.109375" bestFit="1" customWidth="1"/>
    <col min="5" max="5" width="13.6640625" bestFit="1" customWidth="1"/>
    <col min="12" max="12" width="11.6640625" bestFit="1" customWidth="1"/>
    <col min="257" max="257" width="22.88671875" bestFit="1" customWidth="1"/>
    <col min="258" max="258" width="12.6640625" bestFit="1" customWidth="1"/>
    <col min="259" max="259" width="5.33203125" bestFit="1" customWidth="1"/>
    <col min="260" max="260" width="18.109375" bestFit="1" customWidth="1"/>
    <col min="261" max="261" width="13.6640625" bestFit="1" customWidth="1"/>
    <col min="268" max="268" width="11.6640625" bestFit="1" customWidth="1"/>
    <col min="513" max="513" width="22.88671875" bestFit="1" customWidth="1"/>
    <col min="514" max="514" width="12.6640625" bestFit="1" customWidth="1"/>
    <col min="515" max="515" width="5.33203125" bestFit="1" customWidth="1"/>
    <col min="516" max="516" width="18.109375" bestFit="1" customWidth="1"/>
    <col min="517" max="517" width="13.6640625" bestFit="1" customWidth="1"/>
    <col min="524" max="524" width="11.6640625" bestFit="1" customWidth="1"/>
    <col min="769" max="769" width="22.88671875" bestFit="1" customWidth="1"/>
    <col min="770" max="770" width="12.6640625" bestFit="1" customWidth="1"/>
    <col min="771" max="771" width="5.33203125" bestFit="1" customWidth="1"/>
    <col min="772" max="772" width="18.109375" bestFit="1" customWidth="1"/>
    <col min="773" max="773" width="13.6640625" bestFit="1" customWidth="1"/>
    <col min="780" max="780" width="11.6640625" bestFit="1" customWidth="1"/>
    <col min="1025" max="1025" width="22.88671875" bestFit="1" customWidth="1"/>
    <col min="1026" max="1026" width="12.6640625" bestFit="1" customWidth="1"/>
    <col min="1027" max="1027" width="5.33203125" bestFit="1" customWidth="1"/>
    <col min="1028" max="1028" width="18.109375" bestFit="1" customWidth="1"/>
    <col min="1029" max="1029" width="13.6640625" bestFit="1" customWidth="1"/>
    <col min="1036" max="1036" width="11.6640625" bestFit="1" customWidth="1"/>
    <col min="1281" max="1281" width="22.88671875" bestFit="1" customWidth="1"/>
    <col min="1282" max="1282" width="12.6640625" bestFit="1" customWidth="1"/>
    <col min="1283" max="1283" width="5.33203125" bestFit="1" customWidth="1"/>
    <col min="1284" max="1284" width="18.109375" bestFit="1" customWidth="1"/>
    <col min="1285" max="1285" width="13.6640625" bestFit="1" customWidth="1"/>
    <col min="1292" max="1292" width="11.6640625" bestFit="1" customWidth="1"/>
    <col min="1537" max="1537" width="22.88671875" bestFit="1" customWidth="1"/>
    <col min="1538" max="1538" width="12.6640625" bestFit="1" customWidth="1"/>
    <col min="1539" max="1539" width="5.33203125" bestFit="1" customWidth="1"/>
    <col min="1540" max="1540" width="18.109375" bestFit="1" customWidth="1"/>
    <col min="1541" max="1541" width="13.6640625" bestFit="1" customWidth="1"/>
    <col min="1548" max="1548" width="11.6640625" bestFit="1" customWidth="1"/>
    <col min="1793" max="1793" width="22.88671875" bestFit="1" customWidth="1"/>
    <col min="1794" max="1794" width="12.6640625" bestFit="1" customWidth="1"/>
    <col min="1795" max="1795" width="5.33203125" bestFit="1" customWidth="1"/>
    <col min="1796" max="1796" width="18.109375" bestFit="1" customWidth="1"/>
    <col min="1797" max="1797" width="13.6640625" bestFit="1" customWidth="1"/>
    <col min="1804" max="1804" width="11.6640625" bestFit="1" customWidth="1"/>
    <col min="2049" max="2049" width="22.88671875" bestFit="1" customWidth="1"/>
    <col min="2050" max="2050" width="12.6640625" bestFit="1" customWidth="1"/>
    <col min="2051" max="2051" width="5.33203125" bestFit="1" customWidth="1"/>
    <col min="2052" max="2052" width="18.109375" bestFit="1" customWidth="1"/>
    <col min="2053" max="2053" width="13.6640625" bestFit="1" customWidth="1"/>
    <col min="2060" max="2060" width="11.6640625" bestFit="1" customWidth="1"/>
    <col min="2305" max="2305" width="22.88671875" bestFit="1" customWidth="1"/>
    <col min="2306" max="2306" width="12.6640625" bestFit="1" customWidth="1"/>
    <col min="2307" max="2307" width="5.33203125" bestFit="1" customWidth="1"/>
    <col min="2308" max="2308" width="18.109375" bestFit="1" customWidth="1"/>
    <col min="2309" max="2309" width="13.6640625" bestFit="1" customWidth="1"/>
    <col min="2316" max="2316" width="11.6640625" bestFit="1" customWidth="1"/>
    <col min="2561" max="2561" width="22.88671875" bestFit="1" customWidth="1"/>
    <col min="2562" max="2562" width="12.6640625" bestFit="1" customWidth="1"/>
    <col min="2563" max="2563" width="5.33203125" bestFit="1" customWidth="1"/>
    <col min="2564" max="2564" width="18.109375" bestFit="1" customWidth="1"/>
    <col min="2565" max="2565" width="13.6640625" bestFit="1" customWidth="1"/>
    <col min="2572" max="2572" width="11.6640625" bestFit="1" customWidth="1"/>
    <col min="2817" max="2817" width="22.88671875" bestFit="1" customWidth="1"/>
    <col min="2818" max="2818" width="12.6640625" bestFit="1" customWidth="1"/>
    <col min="2819" max="2819" width="5.33203125" bestFit="1" customWidth="1"/>
    <col min="2820" max="2820" width="18.109375" bestFit="1" customWidth="1"/>
    <col min="2821" max="2821" width="13.6640625" bestFit="1" customWidth="1"/>
    <col min="2828" max="2828" width="11.6640625" bestFit="1" customWidth="1"/>
    <col min="3073" max="3073" width="22.88671875" bestFit="1" customWidth="1"/>
    <col min="3074" max="3074" width="12.6640625" bestFit="1" customWidth="1"/>
    <col min="3075" max="3075" width="5.33203125" bestFit="1" customWidth="1"/>
    <col min="3076" max="3076" width="18.109375" bestFit="1" customWidth="1"/>
    <col min="3077" max="3077" width="13.6640625" bestFit="1" customWidth="1"/>
    <col min="3084" max="3084" width="11.6640625" bestFit="1" customWidth="1"/>
    <col min="3329" max="3329" width="22.88671875" bestFit="1" customWidth="1"/>
    <col min="3330" max="3330" width="12.6640625" bestFit="1" customWidth="1"/>
    <col min="3331" max="3331" width="5.33203125" bestFit="1" customWidth="1"/>
    <col min="3332" max="3332" width="18.109375" bestFit="1" customWidth="1"/>
    <col min="3333" max="3333" width="13.6640625" bestFit="1" customWidth="1"/>
    <col min="3340" max="3340" width="11.6640625" bestFit="1" customWidth="1"/>
    <col min="3585" max="3585" width="22.88671875" bestFit="1" customWidth="1"/>
    <col min="3586" max="3586" width="12.6640625" bestFit="1" customWidth="1"/>
    <col min="3587" max="3587" width="5.33203125" bestFit="1" customWidth="1"/>
    <col min="3588" max="3588" width="18.109375" bestFit="1" customWidth="1"/>
    <col min="3589" max="3589" width="13.6640625" bestFit="1" customWidth="1"/>
    <col min="3596" max="3596" width="11.6640625" bestFit="1" customWidth="1"/>
    <col min="3841" max="3841" width="22.88671875" bestFit="1" customWidth="1"/>
    <col min="3842" max="3842" width="12.6640625" bestFit="1" customWidth="1"/>
    <col min="3843" max="3843" width="5.33203125" bestFit="1" customWidth="1"/>
    <col min="3844" max="3844" width="18.109375" bestFit="1" customWidth="1"/>
    <col min="3845" max="3845" width="13.6640625" bestFit="1" customWidth="1"/>
    <col min="3852" max="3852" width="11.6640625" bestFit="1" customWidth="1"/>
    <col min="4097" max="4097" width="22.88671875" bestFit="1" customWidth="1"/>
    <col min="4098" max="4098" width="12.6640625" bestFit="1" customWidth="1"/>
    <col min="4099" max="4099" width="5.33203125" bestFit="1" customWidth="1"/>
    <col min="4100" max="4100" width="18.109375" bestFit="1" customWidth="1"/>
    <col min="4101" max="4101" width="13.6640625" bestFit="1" customWidth="1"/>
    <col min="4108" max="4108" width="11.6640625" bestFit="1" customWidth="1"/>
    <col min="4353" max="4353" width="22.88671875" bestFit="1" customWidth="1"/>
    <col min="4354" max="4354" width="12.6640625" bestFit="1" customWidth="1"/>
    <col min="4355" max="4355" width="5.33203125" bestFit="1" customWidth="1"/>
    <col min="4356" max="4356" width="18.109375" bestFit="1" customWidth="1"/>
    <col min="4357" max="4357" width="13.6640625" bestFit="1" customWidth="1"/>
    <col min="4364" max="4364" width="11.6640625" bestFit="1" customWidth="1"/>
    <col min="4609" max="4609" width="22.88671875" bestFit="1" customWidth="1"/>
    <col min="4610" max="4610" width="12.6640625" bestFit="1" customWidth="1"/>
    <col min="4611" max="4611" width="5.33203125" bestFit="1" customWidth="1"/>
    <col min="4612" max="4612" width="18.109375" bestFit="1" customWidth="1"/>
    <col min="4613" max="4613" width="13.6640625" bestFit="1" customWidth="1"/>
    <col min="4620" max="4620" width="11.6640625" bestFit="1" customWidth="1"/>
    <col min="4865" max="4865" width="22.88671875" bestFit="1" customWidth="1"/>
    <col min="4866" max="4866" width="12.6640625" bestFit="1" customWidth="1"/>
    <col min="4867" max="4867" width="5.33203125" bestFit="1" customWidth="1"/>
    <col min="4868" max="4868" width="18.109375" bestFit="1" customWidth="1"/>
    <col min="4869" max="4869" width="13.6640625" bestFit="1" customWidth="1"/>
    <col min="4876" max="4876" width="11.6640625" bestFit="1" customWidth="1"/>
    <col min="5121" max="5121" width="22.88671875" bestFit="1" customWidth="1"/>
    <col min="5122" max="5122" width="12.6640625" bestFit="1" customWidth="1"/>
    <col min="5123" max="5123" width="5.33203125" bestFit="1" customWidth="1"/>
    <col min="5124" max="5124" width="18.109375" bestFit="1" customWidth="1"/>
    <col min="5125" max="5125" width="13.6640625" bestFit="1" customWidth="1"/>
    <col min="5132" max="5132" width="11.6640625" bestFit="1" customWidth="1"/>
    <col min="5377" max="5377" width="22.88671875" bestFit="1" customWidth="1"/>
    <col min="5378" max="5378" width="12.6640625" bestFit="1" customWidth="1"/>
    <col min="5379" max="5379" width="5.33203125" bestFit="1" customWidth="1"/>
    <col min="5380" max="5380" width="18.109375" bestFit="1" customWidth="1"/>
    <col min="5381" max="5381" width="13.6640625" bestFit="1" customWidth="1"/>
    <col min="5388" max="5388" width="11.6640625" bestFit="1" customWidth="1"/>
    <col min="5633" max="5633" width="22.88671875" bestFit="1" customWidth="1"/>
    <col min="5634" max="5634" width="12.6640625" bestFit="1" customWidth="1"/>
    <col min="5635" max="5635" width="5.33203125" bestFit="1" customWidth="1"/>
    <col min="5636" max="5636" width="18.109375" bestFit="1" customWidth="1"/>
    <col min="5637" max="5637" width="13.6640625" bestFit="1" customWidth="1"/>
    <col min="5644" max="5644" width="11.6640625" bestFit="1" customWidth="1"/>
    <col min="5889" max="5889" width="22.88671875" bestFit="1" customWidth="1"/>
    <col min="5890" max="5890" width="12.6640625" bestFit="1" customWidth="1"/>
    <col min="5891" max="5891" width="5.33203125" bestFit="1" customWidth="1"/>
    <col min="5892" max="5892" width="18.109375" bestFit="1" customWidth="1"/>
    <col min="5893" max="5893" width="13.6640625" bestFit="1" customWidth="1"/>
    <col min="5900" max="5900" width="11.6640625" bestFit="1" customWidth="1"/>
    <col min="6145" max="6145" width="22.88671875" bestFit="1" customWidth="1"/>
    <col min="6146" max="6146" width="12.6640625" bestFit="1" customWidth="1"/>
    <col min="6147" max="6147" width="5.33203125" bestFit="1" customWidth="1"/>
    <col min="6148" max="6148" width="18.109375" bestFit="1" customWidth="1"/>
    <col min="6149" max="6149" width="13.6640625" bestFit="1" customWidth="1"/>
    <col min="6156" max="6156" width="11.6640625" bestFit="1" customWidth="1"/>
    <col min="6401" max="6401" width="22.88671875" bestFit="1" customWidth="1"/>
    <col min="6402" max="6402" width="12.6640625" bestFit="1" customWidth="1"/>
    <col min="6403" max="6403" width="5.33203125" bestFit="1" customWidth="1"/>
    <col min="6404" max="6404" width="18.109375" bestFit="1" customWidth="1"/>
    <col min="6405" max="6405" width="13.6640625" bestFit="1" customWidth="1"/>
    <col min="6412" max="6412" width="11.6640625" bestFit="1" customWidth="1"/>
    <col min="6657" max="6657" width="22.88671875" bestFit="1" customWidth="1"/>
    <col min="6658" max="6658" width="12.6640625" bestFit="1" customWidth="1"/>
    <col min="6659" max="6659" width="5.33203125" bestFit="1" customWidth="1"/>
    <col min="6660" max="6660" width="18.109375" bestFit="1" customWidth="1"/>
    <col min="6661" max="6661" width="13.6640625" bestFit="1" customWidth="1"/>
    <col min="6668" max="6668" width="11.6640625" bestFit="1" customWidth="1"/>
    <col min="6913" max="6913" width="22.88671875" bestFit="1" customWidth="1"/>
    <col min="6914" max="6914" width="12.6640625" bestFit="1" customWidth="1"/>
    <col min="6915" max="6915" width="5.33203125" bestFit="1" customWidth="1"/>
    <col min="6916" max="6916" width="18.109375" bestFit="1" customWidth="1"/>
    <col min="6917" max="6917" width="13.6640625" bestFit="1" customWidth="1"/>
    <col min="6924" max="6924" width="11.6640625" bestFit="1" customWidth="1"/>
    <col min="7169" max="7169" width="22.88671875" bestFit="1" customWidth="1"/>
    <col min="7170" max="7170" width="12.6640625" bestFit="1" customWidth="1"/>
    <col min="7171" max="7171" width="5.33203125" bestFit="1" customWidth="1"/>
    <col min="7172" max="7172" width="18.109375" bestFit="1" customWidth="1"/>
    <col min="7173" max="7173" width="13.6640625" bestFit="1" customWidth="1"/>
    <col min="7180" max="7180" width="11.6640625" bestFit="1" customWidth="1"/>
    <col min="7425" max="7425" width="22.88671875" bestFit="1" customWidth="1"/>
    <col min="7426" max="7426" width="12.6640625" bestFit="1" customWidth="1"/>
    <col min="7427" max="7427" width="5.33203125" bestFit="1" customWidth="1"/>
    <col min="7428" max="7428" width="18.109375" bestFit="1" customWidth="1"/>
    <col min="7429" max="7429" width="13.6640625" bestFit="1" customWidth="1"/>
    <col min="7436" max="7436" width="11.6640625" bestFit="1" customWidth="1"/>
    <col min="7681" max="7681" width="22.88671875" bestFit="1" customWidth="1"/>
    <col min="7682" max="7682" width="12.6640625" bestFit="1" customWidth="1"/>
    <col min="7683" max="7683" width="5.33203125" bestFit="1" customWidth="1"/>
    <col min="7684" max="7684" width="18.109375" bestFit="1" customWidth="1"/>
    <col min="7685" max="7685" width="13.6640625" bestFit="1" customWidth="1"/>
    <col min="7692" max="7692" width="11.6640625" bestFit="1" customWidth="1"/>
    <col min="7937" max="7937" width="22.88671875" bestFit="1" customWidth="1"/>
    <col min="7938" max="7938" width="12.6640625" bestFit="1" customWidth="1"/>
    <col min="7939" max="7939" width="5.33203125" bestFit="1" customWidth="1"/>
    <col min="7940" max="7940" width="18.109375" bestFit="1" customWidth="1"/>
    <col min="7941" max="7941" width="13.6640625" bestFit="1" customWidth="1"/>
    <col min="7948" max="7948" width="11.6640625" bestFit="1" customWidth="1"/>
    <col min="8193" max="8193" width="22.88671875" bestFit="1" customWidth="1"/>
    <col min="8194" max="8194" width="12.6640625" bestFit="1" customWidth="1"/>
    <col min="8195" max="8195" width="5.33203125" bestFit="1" customWidth="1"/>
    <col min="8196" max="8196" width="18.109375" bestFit="1" customWidth="1"/>
    <col min="8197" max="8197" width="13.6640625" bestFit="1" customWidth="1"/>
    <col min="8204" max="8204" width="11.6640625" bestFit="1" customWidth="1"/>
    <col min="8449" max="8449" width="22.88671875" bestFit="1" customWidth="1"/>
    <col min="8450" max="8450" width="12.6640625" bestFit="1" customWidth="1"/>
    <col min="8451" max="8451" width="5.33203125" bestFit="1" customWidth="1"/>
    <col min="8452" max="8452" width="18.109375" bestFit="1" customWidth="1"/>
    <col min="8453" max="8453" width="13.6640625" bestFit="1" customWidth="1"/>
    <col min="8460" max="8460" width="11.6640625" bestFit="1" customWidth="1"/>
    <col min="8705" max="8705" width="22.88671875" bestFit="1" customWidth="1"/>
    <col min="8706" max="8706" width="12.6640625" bestFit="1" customWidth="1"/>
    <col min="8707" max="8707" width="5.33203125" bestFit="1" customWidth="1"/>
    <col min="8708" max="8708" width="18.109375" bestFit="1" customWidth="1"/>
    <col min="8709" max="8709" width="13.6640625" bestFit="1" customWidth="1"/>
    <col min="8716" max="8716" width="11.6640625" bestFit="1" customWidth="1"/>
    <col min="8961" max="8961" width="22.88671875" bestFit="1" customWidth="1"/>
    <col min="8962" max="8962" width="12.6640625" bestFit="1" customWidth="1"/>
    <col min="8963" max="8963" width="5.33203125" bestFit="1" customWidth="1"/>
    <col min="8964" max="8964" width="18.109375" bestFit="1" customWidth="1"/>
    <col min="8965" max="8965" width="13.6640625" bestFit="1" customWidth="1"/>
    <col min="8972" max="8972" width="11.6640625" bestFit="1" customWidth="1"/>
    <col min="9217" max="9217" width="22.88671875" bestFit="1" customWidth="1"/>
    <col min="9218" max="9218" width="12.6640625" bestFit="1" customWidth="1"/>
    <col min="9219" max="9219" width="5.33203125" bestFit="1" customWidth="1"/>
    <col min="9220" max="9220" width="18.109375" bestFit="1" customWidth="1"/>
    <col min="9221" max="9221" width="13.6640625" bestFit="1" customWidth="1"/>
    <col min="9228" max="9228" width="11.6640625" bestFit="1" customWidth="1"/>
    <col min="9473" max="9473" width="22.88671875" bestFit="1" customWidth="1"/>
    <col min="9474" max="9474" width="12.6640625" bestFit="1" customWidth="1"/>
    <col min="9475" max="9475" width="5.33203125" bestFit="1" customWidth="1"/>
    <col min="9476" max="9476" width="18.109375" bestFit="1" customWidth="1"/>
    <col min="9477" max="9477" width="13.6640625" bestFit="1" customWidth="1"/>
    <col min="9484" max="9484" width="11.6640625" bestFit="1" customWidth="1"/>
    <col min="9729" max="9729" width="22.88671875" bestFit="1" customWidth="1"/>
    <col min="9730" max="9730" width="12.6640625" bestFit="1" customWidth="1"/>
    <col min="9731" max="9731" width="5.33203125" bestFit="1" customWidth="1"/>
    <col min="9732" max="9732" width="18.109375" bestFit="1" customWidth="1"/>
    <col min="9733" max="9733" width="13.6640625" bestFit="1" customWidth="1"/>
    <col min="9740" max="9740" width="11.6640625" bestFit="1" customWidth="1"/>
    <col min="9985" max="9985" width="22.88671875" bestFit="1" customWidth="1"/>
    <col min="9986" max="9986" width="12.6640625" bestFit="1" customWidth="1"/>
    <col min="9987" max="9987" width="5.33203125" bestFit="1" customWidth="1"/>
    <col min="9988" max="9988" width="18.109375" bestFit="1" customWidth="1"/>
    <col min="9989" max="9989" width="13.6640625" bestFit="1" customWidth="1"/>
    <col min="9996" max="9996" width="11.6640625" bestFit="1" customWidth="1"/>
    <col min="10241" max="10241" width="22.88671875" bestFit="1" customWidth="1"/>
    <col min="10242" max="10242" width="12.6640625" bestFit="1" customWidth="1"/>
    <col min="10243" max="10243" width="5.33203125" bestFit="1" customWidth="1"/>
    <col min="10244" max="10244" width="18.109375" bestFit="1" customWidth="1"/>
    <col min="10245" max="10245" width="13.6640625" bestFit="1" customWidth="1"/>
    <col min="10252" max="10252" width="11.6640625" bestFit="1" customWidth="1"/>
    <col min="10497" max="10497" width="22.88671875" bestFit="1" customWidth="1"/>
    <col min="10498" max="10498" width="12.6640625" bestFit="1" customWidth="1"/>
    <col min="10499" max="10499" width="5.33203125" bestFit="1" customWidth="1"/>
    <col min="10500" max="10500" width="18.109375" bestFit="1" customWidth="1"/>
    <col min="10501" max="10501" width="13.6640625" bestFit="1" customWidth="1"/>
    <col min="10508" max="10508" width="11.6640625" bestFit="1" customWidth="1"/>
    <col min="10753" max="10753" width="22.88671875" bestFit="1" customWidth="1"/>
    <col min="10754" max="10754" width="12.6640625" bestFit="1" customWidth="1"/>
    <col min="10755" max="10755" width="5.33203125" bestFit="1" customWidth="1"/>
    <col min="10756" max="10756" width="18.109375" bestFit="1" customWidth="1"/>
    <col min="10757" max="10757" width="13.6640625" bestFit="1" customWidth="1"/>
    <col min="10764" max="10764" width="11.6640625" bestFit="1" customWidth="1"/>
    <col min="11009" max="11009" width="22.88671875" bestFit="1" customWidth="1"/>
    <col min="11010" max="11010" width="12.6640625" bestFit="1" customWidth="1"/>
    <col min="11011" max="11011" width="5.33203125" bestFit="1" customWidth="1"/>
    <col min="11012" max="11012" width="18.109375" bestFit="1" customWidth="1"/>
    <col min="11013" max="11013" width="13.6640625" bestFit="1" customWidth="1"/>
    <col min="11020" max="11020" width="11.6640625" bestFit="1" customWidth="1"/>
    <col min="11265" max="11265" width="22.88671875" bestFit="1" customWidth="1"/>
    <col min="11266" max="11266" width="12.6640625" bestFit="1" customWidth="1"/>
    <col min="11267" max="11267" width="5.33203125" bestFit="1" customWidth="1"/>
    <col min="11268" max="11268" width="18.109375" bestFit="1" customWidth="1"/>
    <col min="11269" max="11269" width="13.6640625" bestFit="1" customWidth="1"/>
    <col min="11276" max="11276" width="11.6640625" bestFit="1" customWidth="1"/>
    <col min="11521" max="11521" width="22.88671875" bestFit="1" customWidth="1"/>
    <col min="11522" max="11522" width="12.6640625" bestFit="1" customWidth="1"/>
    <col min="11523" max="11523" width="5.33203125" bestFit="1" customWidth="1"/>
    <col min="11524" max="11524" width="18.109375" bestFit="1" customWidth="1"/>
    <col min="11525" max="11525" width="13.6640625" bestFit="1" customWidth="1"/>
    <col min="11532" max="11532" width="11.6640625" bestFit="1" customWidth="1"/>
    <col min="11777" max="11777" width="22.88671875" bestFit="1" customWidth="1"/>
    <col min="11778" max="11778" width="12.6640625" bestFit="1" customWidth="1"/>
    <col min="11779" max="11779" width="5.33203125" bestFit="1" customWidth="1"/>
    <col min="11780" max="11780" width="18.109375" bestFit="1" customWidth="1"/>
    <col min="11781" max="11781" width="13.6640625" bestFit="1" customWidth="1"/>
    <col min="11788" max="11788" width="11.6640625" bestFit="1" customWidth="1"/>
    <col min="12033" max="12033" width="22.88671875" bestFit="1" customWidth="1"/>
    <col min="12034" max="12034" width="12.6640625" bestFit="1" customWidth="1"/>
    <col min="12035" max="12035" width="5.33203125" bestFit="1" customWidth="1"/>
    <col min="12036" max="12036" width="18.109375" bestFit="1" customWidth="1"/>
    <col min="12037" max="12037" width="13.6640625" bestFit="1" customWidth="1"/>
    <col min="12044" max="12044" width="11.6640625" bestFit="1" customWidth="1"/>
    <col min="12289" max="12289" width="22.88671875" bestFit="1" customWidth="1"/>
    <col min="12290" max="12290" width="12.6640625" bestFit="1" customWidth="1"/>
    <col min="12291" max="12291" width="5.33203125" bestFit="1" customWidth="1"/>
    <col min="12292" max="12292" width="18.109375" bestFit="1" customWidth="1"/>
    <col min="12293" max="12293" width="13.6640625" bestFit="1" customWidth="1"/>
    <col min="12300" max="12300" width="11.6640625" bestFit="1" customWidth="1"/>
    <col min="12545" max="12545" width="22.88671875" bestFit="1" customWidth="1"/>
    <col min="12546" max="12546" width="12.6640625" bestFit="1" customWidth="1"/>
    <col min="12547" max="12547" width="5.33203125" bestFit="1" customWidth="1"/>
    <col min="12548" max="12548" width="18.109375" bestFit="1" customWidth="1"/>
    <col min="12549" max="12549" width="13.6640625" bestFit="1" customWidth="1"/>
    <col min="12556" max="12556" width="11.6640625" bestFit="1" customWidth="1"/>
    <col min="12801" max="12801" width="22.88671875" bestFit="1" customWidth="1"/>
    <col min="12802" max="12802" width="12.6640625" bestFit="1" customWidth="1"/>
    <col min="12803" max="12803" width="5.33203125" bestFit="1" customWidth="1"/>
    <col min="12804" max="12804" width="18.109375" bestFit="1" customWidth="1"/>
    <col min="12805" max="12805" width="13.6640625" bestFit="1" customWidth="1"/>
    <col min="12812" max="12812" width="11.6640625" bestFit="1" customWidth="1"/>
    <col min="13057" max="13057" width="22.88671875" bestFit="1" customWidth="1"/>
    <col min="13058" max="13058" width="12.6640625" bestFit="1" customWidth="1"/>
    <col min="13059" max="13059" width="5.33203125" bestFit="1" customWidth="1"/>
    <col min="13060" max="13060" width="18.109375" bestFit="1" customWidth="1"/>
    <col min="13061" max="13061" width="13.6640625" bestFit="1" customWidth="1"/>
    <col min="13068" max="13068" width="11.6640625" bestFit="1" customWidth="1"/>
    <col min="13313" max="13313" width="22.88671875" bestFit="1" customWidth="1"/>
    <col min="13314" max="13314" width="12.6640625" bestFit="1" customWidth="1"/>
    <col min="13315" max="13315" width="5.33203125" bestFit="1" customWidth="1"/>
    <col min="13316" max="13316" width="18.109375" bestFit="1" customWidth="1"/>
    <col min="13317" max="13317" width="13.6640625" bestFit="1" customWidth="1"/>
    <col min="13324" max="13324" width="11.6640625" bestFit="1" customWidth="1"/>
    <col min="13569" max="13569" width="22.88671875" bestFit="1" customWidth="1"/>
    <col min="13570" max="13570" width="12.6640625" bestFit="1" customWidth="1"/>
    <col min="13571" max="13571" width="5.33203125" bestFit="1" customWidth="1"/>
    <col min="13572" max="13572" width="18.109375" bestFit="1" customWidth="1"/>
    <col min="13573" max="13573" width="13.6640625" bestFit="1" customWidth="1"/>
    <col min="13580" max="13580" width="11.6640625" bestFit="1" customWidth="1"/>
    <col min="13825" max="13825" width="22.88671875" bestFit="1" customWidth="1"/>
    <col min="13826" max="13826" width="12.6640625" bestFit="1" customWidth="1"/>
    <col min="13827" max="13827" width="5.33203125" bestFit="1" customWidth="1"/>
    <col min="13828" max="13828" width="18.109375" bestFit="1" customWidth="1"/>
    <col min="13829" max="13829" width="13.6640625" bestFit="1" customWidth="1"/>
    <col min="13836" max="13836" width="11.6640625" bestFit="1" customWidth="1"/>
    <col min="14081" max="14081" width="22.88671875" bestFit="1" customWidth="1"/>
    <col min="14082" max="14082" width="12.6640625" bestFit="1" customWidth="1"/>
    <col min="14083" max="14083" width="5.33203125" bestFit="1" customWidth="1"/>
    <col min="14084" max="14084" width="18.109375" bestFit="1" customWidth="1"/>
    <col min="14085" max="14085" width="13.6640625" bestFit="1" customWidth="1"/>
    <col min="14092" max="14092" width="11.6640625" bestFit="1" customWidth="1"/>
    <col min="14337" max="14337" width="22.88671875" bestFit="1" customWidth="1"/>
    <col min="14338" max="14338" width="12.6640625" bestFit="1" customWidth="1"/>
    <col min="14339" max="14339" width="5.33203125" bestFit="1" customWidth="1"/>
    <col min="14340" max="14340" width="18.109375" bestFit="1" customWidth="1"/>
    <col min="14341" max="14341" width="13.6640625" bestFit="1" customWidth="1"/>
    <col min="14348" max="14348" width="11.6640625" bestFit="1" customWidth="1"/>
    <col min="14593" max="14593" width="22.88671875" bestFit="1" customWidth="1"/>
    <col min="14594" max="14594" width="12.6640625" bestFit="1" customWidth="1"/>
    <col min="14595" max="14595" width="5.33203125" bestFit="1" customWidth="1"/>
    <col min="14596" max="14596" width="18.109375" bestFit="1" customWidth="1"/>
    <col min="14597" max="14597" width="13.6640625" bestFit="1" customWidth="1"/>
    <col min="14604" max="14604" width="11.6640625" bestFit="1" customWidth="1"/>
    <col min="14849" max="14849" width="22.88671875" bestFit="1" customWidth="1"/>
    <col min="14850" max="14850" width="12.6640625" bestFit="1" customWidth="1"/>
    <col min="14851" max="14851" width="5.33203125" bestFit="1" customWidth="1"/>
    <col min="14852" max="14852" width="18.109375" bestFit="1" customWidth="1"/>
    <col min="14853" max="14853" width="13.6640625" bestFit="1" customWidth="1"/>
    <col min="14860" max="14860" width="11.6640625" bestFit="1" customWidth="1"/>
    <col min="15105" max="15105" width="22.88671875" bestFit="1" customWidth="1"/>
    <col min="15106" max="15106" width="12.6640625" bestFit="1" customWidth="1"/>
    <col min="15107" max="15107" width="5.33203125" bestFit="1" customWidth="1"/>
    <col min="15108" max="15108" width="18.109375" bestFit="1" customWidth="1"/>
    <col min="15109" max="15109" width="13.6640625" bestFit="1" customWidth="1"/>
    <col min="15116" max="15116" width="11.6640625" bestFit="1" customWidth="1"/>
    <col min="15361" max="15361" width="22.88671875" bestFit="1" customWidth="1"/>
    <col min="15362" max="15362" width="12.6640625" bestFit="1" customWidth="1"/>
    <col min="15363" max="15363" width="5.33203125" bestFit="1" customWidth="1"/>
    <col min="15364" max="15364" width="18.109375" bestFit="1" customWidth="1"/>
    <col min="15365" max="15365" width="13.6640625" bestFit="1" customWidth="1"/>
    <col min="15372" max="15372" width="11.6640625" bestFit="1" customWidth="1"/>
    <col min="15617" max="15617" width="22.88671875" bestFit="1" customWidth="1"/>
    <col min="15618" max="15618" width="12.6640625" bestFit="1" customWidth="1"/>
    <col min="15619" max="15619" width="5.33203125" bestFit="1" customWidth="1"/>
    <col min="15620" max="15620" width="18.109375" bestFit="1" customWidth="1"/>
    <col min="15621" max="15621" width="13.6640625" bestFit="1" customWidth="1"/>
    <col min="15628" max="15628" width="11.6640625" bestFit="1" customWidth="1"/>
    <col min="15873" max="15873" width="22.88671875" bestFit="1" customWidth="1"/>
    <col min="15874" max="15874" width="12.6640625" bestFit="1" customWidth="1"/>
    <col min="15875" max="15875" width="5.33203125" bestFit="1" customWidth="1"/>
    <col min="15876" max="15876" width="18.109375" bestFit="1" customWidth="1"/>
    <col min="15877" max="15877" width="13.6640625" bestFit="1" customWidth="1"/>
    <col min="15884" max="15884" width="11.6640625" bestFit="1" customWidth="1"/>
    <col min="16129" max="16129" width="22.88671875" bestFit="1" customWidth="1"/>
    <col min="16130" max="16130" width="12.6640625" bestFit="1" customWidth="1"/>
    <col min="16131" max="16131" width="5.33203125" bestFit="1" customWidth="1"/>
    <col min="16132" max="16132" width="18.109375" bestFit="1" customWidth="1"/>
    <col min="16133" max="16133" width="13.6640625" bestFit="1" customWidth="1"/>
    <col min="16140" max="16140" width="11.6640625" bestFit="1" customWidth="1"/>
  </cols>
  <sheetData>
    <row r="1" spans="1:12" x14ac:dyDescent="0.3">
      <c r="A1" s="25">
        <v>5.0999999999999996</v>
      </c>
      <c r="B1" s="25"/>
      <c r="C1" s="25"/>
      <c r="D1" s="25"/>
      <c r="E1" s="25"/>
    </row>
    <row r="2" spans="1:12" x14ac:dyDescent="0.3">
      <c r="A2" s="49" t="s">
        <v>150</v>
      </c>
      <c r="B2" s="49">
        <v>0.1</v>
      </c>
    </row>
    <row r="3" spans="1:12" x14ac:dyDescent="0.3">
      <c r="A3" s="1" t="s">
        <v>151</v>
      </c>
      <c r="B3" s="21">
        <f>SUM(B5:B8)</f>
        <v>10000000</v>
      </c>
    </row>
    <row r="4" spans="1:12" x14ac:dyDescent="0.3">
      <c r="B4" s="22"/>
      <c r="C4" s="82" t="s">
        <v>25</v>
      </c>
      <c r="D4" s="82" t="s">
        <v>152</v>
      </c>
      <c r="E4" s="82" t="s">
        <v>153</v>
      </c>
      <c r="L4" s="1" t="s">
        <v>88</v>
      </c>
    </row>
    <row r="5" spans="1:12" x14ac:dyDescent="0.3">
      <c r="A5" s="1" t="s">
        <v>154</v>
      </c>
      <c r="B5" s="21">
        <v>1000000</v>
      </c>
      <c r="C5" s="1">
        <v>0</v>
      </c>
      <c r="D5" s="30"/>
      <c r="E5" s="1"/>
      <c r="L5" s="21">
        <f>B5/((1+$B$2)^C5)</f>
        <v>1000000</v>
      </c>
    </row>
    <row r="6" spans="1:12" x14ac:dyDescent="0.3">
      <c r="A6" s="1" t="s">
        <v>155</v>
      </c>
      <c r="B6" s="21">
        <v>2000000</v>
      </c>
      <c r="C6" s="1">
        <v>1</v>
      </c>
      <c r="D6" s="30"/>
      <c r="E6" s="1"/>
      <c r="L6" s="21">
        <f>B6/((1+$B$2)^C6)</f>
        <v>1818181.8181818181</v>
      </c>
    </row>
    <row r="7" spans="1:12" x14ac:dyDescent="0.3">
      <c r="A7" s="1" t="s">
        <v>156</v>
      </c>
      <c r="B7" s="21">
        <v>3000000</v>
      </c>
      <c r="C7" s="1">
        <v>2</v>
      </c>
      <c r="D7" s="30"/>
      <c r="E7" s="1"/>
      <c r="L7" s="21">
        <f>B7/((1+$B$2)^C7)</f>
        <v>2479338.8429752062</v>
      </c>
    </row>
    <row r="8" spans="1:12" x14ac:dyDescent="0.3">
      <c r="A8" s="1" t="s">
        <v>157</v>
      </c>
      <c r="B8" s="21">
        <v>4000000</v>
      </c>
      <c r="C8" s="1">
        <v>3</v>
      </c>
      <c r="D8" s="30"/>
      <c r="E8" s="1"/>
      <c r="L8" s="21">
        <f>B8/((1+$B$2)^C8)</f>
        <v>3005259.2036063103</v>
      </c>
    </row>
    <row r="9" spans="1:12" ht="43.2" x14ac:dyDescent="0.3">
      <c r="A9" s="1"/>
      <c r="B9" s="1"/>
      <c r="C9" s="1"/>
      <c r="D9" s="30"/>
      <c r="E9" s="30"/>
      <c r="F9" s="101" t="s">
        <v>158</v>
      </c>
      <c r="G9" s="23"/>
      <c r="H9" s="23"/>
      <c r="I9" s="23"/>
      <c r="J9" s="23"/>
      <c r="L9" s="21">
        <f>SUM(L5:L8)</f>
        <v>8302779.8647633353</v>
      </c>
    </row>
    <row r="11" spans="1:12" x14ac:dyDescent="0.3">
      <c r="A11" s="1" t="s">
        <v>82</v>
      </c>
      <c r="B11" s="58"/>
      <c r="C11" s="59"/>
      <c r="D11" s="59"/>
      <c r="E11" s="59"/>
      <c r="F11" s="60"/>
    </row>
    <row r="12" spans="1:12" x14ac:dyDescent="0.3">
      <c r="A12" s="1"/>
      <c r="B12" s="58"/>
      <c r="C12" s="59"/>
      <c r="D12" s="59"/>
      <c r="E12" s="59"/>
      <c r="F12" s="60"/>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2"/>
  <sheetViews>
    <sheetView workbookViewId="0">
      <selection activeCell="B15" sqref="B15"/>
    </sheetView>
  </sheetViews>
  <sheetFormatPr defaultRowHeight="14.4" x14ac:dyDescent="0.3"/>
  <cols>
    <col min="1" max="1" width="22.88671875" bestFit="1" customWidth="1"/>
    <col min="2" max="2" width="12.6640625" bestFit="1" customWidth="1"/>
    <col min="3" max="3" width="5.33203125" bestFit="1" customWidth="1"/>
    <col min="4" max="4" width="18.109375" bestFit="1" customWidth="1"/>
    <col min="5" max="5" width="13.6640625" bestFit="1" customWidth="1"/>
    <col min="12" max="12" width="11.6640625" bestFit="1" customWidth="1"/>
    <col min="257" max="257" width="22.88671875" bestFit="1" customWidth="1"/>
    <col min="258" max="258" width="12.6640625" bestFit="1" customWidth="1"/>
    <col min="259" max="259" width="5.33203125" bestFit="1" customWidth="1"/>
    <col min="260" max="260" width="18.109375" bestFit="1" customWidth="1"/>
    <col min="261" max="261" width="13.6640625" bestFit="1" customWidth="1"/>
    <col min="268" max="268" width="11.6640625" bestFit="1" customWidth="1"/>
    <col min="513" max="513" width="22.88671875" bestFit="1" customWidth="1"/>
    <col min="514" max="514" width="12.6640625" bestFit="1" customWidth="1"/>
    <col min="515" max="515" width="5.33203125" bestFit="1" customWidth="1"/>
    <col min="516" max="516" width="18.109375" bestFit="1" customWidth="1"/>
    <col min="517" max="517" width="13.6640625" bestFit="1" customWidth="1"/>
    <col min="524" max="524" width="11.6640625" bestFit="1" customWidth="1"/>
    <col min="769" max="769" width="22.88671875" bestFit="1" customWidth="1"/>
    <col min="770" max="770" width="12.6640625" bestFit="1" customWidth="1"/>
    <col min="771" max="771" width="5.33203125" bestFit="1" customWidth="1"/>
    <col min="772" max="772" width="18.109375" bestFit="1" customWidth="1"/>
    <col min="773" max="773" width="13.6640625" bestFit="1" customWidth="1"/>
    <col min="780" max="780" width="11.6640625" bestFit="1" customWidth="1"/>
    <col min="1025" max="1025" width="22.88671875" bestFit="1" customWidth="1"/>
    <col min="1026" max="1026" width="12.6640625" bestFit="1" customWidth="1"/>
    <col min="1027" max="1027" width="5.33203125" bestFit="1" customWidth="1"/>
    <col min="1028" max="1028" width="18.109375" bestFit="1" customWidth="1"/>
    <col min="1029" max="1029" width="13.6640625" bestFit="1" customWidth="1"/>
    <col min="1036" max="1036" width="11.6640625" bestFit="1" customWidth="1"/>
    <col min="1281" max="1281" width="22.88671875" bestFit="1" customWidth="1"/>
    <col min="1282" max="1282" width="12.6640625" bestFit="1" customWidth="1"/>
    <col min="1283" max="1283" width="5.33203125" bestFit="1" customWidth="1"/>
    <col min="1284" max="1284" width="18.109375" bestFit="1" customWidth="1"/>
    <col min="1285" max="1285" width="13.6640625" bestFit="1" customWidth="1"/>
    <col min="1292" max="1292" width="11.6640625" bestFit="1" customWidth="1"/>
    <col min="1537" max="1537" width="22.88671875" bestFit="1" customWidth="1"/>
    <col min="1538" max="1538" width="12.6640625" bestFit="1" customWidth="1"/>
    <col min="1539" max="1539" width="5.33203125" bestFit="1" customWidth="1"/>
    <col min="1540" max="1540" width="18.109375" bestFit="1" customWidth="1"/>
    <col min="1541" max="1541" width="13.6640625" bestFit="1" customWidth="1"/>
    <col min="1548" max="1548" width="11.6640625" bestFit="1" customWidth="1"/>
    <col min="1793" max="1793" width="22.88671875" bestFit="1" customWidth="1"/>
    <col min="1794" max="1794" width="12.6640625" bestFit="1" customWidth="1"/>
    <col min="1795" max="1795" width="5.33203125" bestFit="1" customWidth="1"/>
    <col min="1796" max="1796" width="18.109375" bestFit="1" customWidth="1"/>
    <col min="1797" max="1797" width="13.6640625" bestFit="1" customWidth="1"/>
    <col min="1804" max="1804" width="11.6640625" bestFit="1" customWidth="1"/>
    <col min="2049" max="2049" width="22.88671875" bestFit="1" customWidth="1"/>
    <col min="2050" max="2050" width="12.6640625" bestFit="1" customWidth="1"/>
    <col min="2051" max="2051" width="5.33203125" bestFit="1" customWidth="1"/>
    <col min="2052" max="2052" width="18.109375" bestFit="1" customWidth="1"/>
    <col min="2053" max="2053" width="13.6640625" bestFit="1" customWidth="1"/>
    <col min="2060" max="2060" width="11.6640625" bestFit="1" customWidth="1"/>
    <col min="2305" max="2305" width="22.88671875" bestFit="1" customWidth="1"/>
    <col min="2306" max="2306" width="12.6640625" bestFit="1" customWidth="1"/>
    <col min="2307" max="2307" width="5.33203125" bestFit="1" customWidth="1"/>
    <col min="2308" max="2308" width="18.109375" bestFit="1" customWidth="1"/>
    <col min="2309" max="2309" width="13.6640625" bestFit="1" customWidth="1"/>
    <col min="2316" max="2316" width="11.6640625" bestFit="1" customWidth="1"/>
    <col min="2561" max="2561" width="22.88671875" bestFit="1" customWidth="1"/>
    <col min="2562" max="2562" width="12.6640625" bestFit="1" customWidth="1"/>
    <col min="2563" max="2563" width="5.33203125" bestFit="1" customWidth="1"/>
    <col min="2564" max="2564" width="18.109375" bestFit="1" customWidth="1"/>
    <col min="2565" max="2565" width="13.6640625" bestFit="1" customWidth="1"/>
    <col min="2572" max="2572" width="11.6640625" bestFit="1" customWidth="1"/>
    <col min="2817" max="2817" width="22.88671875" bestFit="1" customWidth="1"/>
    <col min="2818" max="2818" width="12.6640625" bestFit="1" customWidth="1"/>
    <col min="2819" max="2819" width="5.33203125" bestFit="1" customWidth="1"/>
    <col min="2820" max="2820" width="18.109375" bestFit="1" customWidth="1"/>
    <col min="2821" max="2821" width="13.6640625" bestFit="1" customWidth="1"/>
    <col min="2828" max="2828" width="11.6640625" bestFit="1" customWidth="1"/>
    <col min="3073" max="3073" width="22.88671875" bestFit="1" customWidth="1"/>
    <col min="3074" max="3074" width="12.6640625" bestFit="1" customWidth="1"/>
    <col min="3075" max="3075" width="5.33203125" bestFit="1" customWidth="1"/>
    <col min="3076" max="3076" width="18.109375" bestFit="1" customWidth="1"/>
    <col min="3077" max="3077" width="13.6640625" bestFit="1" customWidth="1"/>
    <col min="3084" max="3084" width="11.6640625" bestFit="1" customWidth="1"/>
    <col min="3329" max="3329" width="22.88671875" bestFit="1" customWidth="1"/>
    <col min="3330" max="3330" width="12.6640625" bestFit="1" customWidth="1"/>
    <col min="3331" max="3331" width="5.33203125" bestFit="1" customWidth="1"/>
    <col min="3332" max="3332" width="18.109375" bestFit="1" customWidth="1"/>
    <col min="3333" max="3333" width="13.6640625" bestFit="1" customWidth="1"/>
    <col min="3340" max="3340" width="11.6640625" bestFit="1" customWidth="1"/>
    <col min="3585" max="3585" width="22.88671875" bestFit="1" customWidth="1"/>
    <col min="3586" max="3586" width="12.6640625" bestFit="1" customWidth="1"/>
    <col min="3587" max="3587" width="5.33203125" bestFit="1" customWidth="1"/>
    <col min="3588" max="3588" width="18.109375" bestFit="1" customWidth="1"/>
    <col min="3589" max="3589" width="13.6640625" bestFit="1" customWidth="1"/>
    <col min="3596" max="3596" width="11.6640625" bestFit="1" customWidth="1"/>
    <col min="3841" max="3841" width="22.88671875" bestFit="1" customWidth="1"/>
    <col min="3842" max="3842" width="12.6640625" bestFit="1" customWidth="1"/>
    <col min="3843" max="3843" width="5.33203125" bestFit="1" customWidth="1"/>
    <col min="3844" max="3844" width="18.109375" bestFit="1" customWidth="1"/>
    <col min="3845" max="3845" width="13.6640625" bestFit="1" customWidth="1"/>
    <col min="3852" max="3852" width="11.6640625" bestFit="1" customWidth="1"/>
    <col min="4097" max="4097" width="22.88671875" bestFit="1" customWidth="1"/>
    <col min="4098" max="4098" width="12.6640625" bestFit="1" customWidth="1"/>
    <col min="4099" max="4099" width="5.33203125" bestFit="1" customWidth="1"/>
    <col min="4100" max="4100" width="18.109375" bestFit="1" customWidth="1"/>
    <col min="4101" max="4101" width="13.6640625" bestFit="1" customWidth="1"/>
    <col min="4108" max="4108" width="11.6640625" bestFit="1" customWidth="1"/>
    <col min="4353" max="4353" width="22.88671875" bestFit="1" customWidth="1"/>
    <col min="4354" max="4354" width="12.6640625" bestFit="1" customWidth="1"/>
    <col min="4355" max="4355" width="5.33203125" bestFit="1" customWidth="1"/>
    <col min="4356" max="4356" width="18.109375" bestFit="1" customWidth="1"/>
    <col min="4357" max="4357" width="13.6640625" bestFit="1" customWidth="1"/>
    <col min="4364" max="4364" width="11.6640625" bestFit="1" customWidth="1"/>
    <col min="4609" max="4609" width="22.88671875" bestFit="1" customWidth="1"/>
    <col min="4610" max="4610" width="12.6640625" bestFit="1" customWidth="1"/>
    <col min="4611" max="4611" width="5.33203125" bestFit="1" customWidth="1"/>
    <col min="4612" max="4612" width="18.109375" bestFit="1" customWidth="1"/>
    <col min="4613" max="4613" width="13.6640625" bestFit="1" customWidth="1"/>
    <col min="4620" max="4620" width="11.6640625" bestFit="1" customWidth="1"/>
    <col min="4865" max="4865" width="22.88671875" bestFit="1" customWidth="1"/>
    <col min="4866" max="4866" width="12.6640625" bestFit="1" customWidth="1"/>
    <col min="4867" max="4867" width="5.33203125" bestFit="1" customWidth="1"/>
    <col min="4868" max="4868" width="18.109375" bestFit="1" customWidth="1"/>
    <col min="4869" max="4869" width="13.6640625" bestFit="1" customWidth="1"/>
    <col min="4876" max="4876" width="11.6640625" bestFit="1" customWidth="1"/>
    <col min="5121" max="5121" width="22.88671875" bestFit="1" customWidth="1"/>
    <col min="5122" max="5122" width="12.6640625" bestFit="1" customWidth="1"/>
    <col min="5123" max="5123" width="5.33203125" bestFit="1" customWidth="1"/>
    <col min="5124" max="5124" width="18.109375" bestFit="1" customWidth="1"/>
    <col min="5125" max="5125" width="13.6640625" bestFit="1" customWidth="1"/>
    <col min="5132" max="5132" width="11.6640625" bestFit="1" customWidth="1"/>
    <col min="5377" max="5377" width="22.88671875" bestFit="1" customWidth="1"/>
    <col min="5378" max="5378" width="12.6640625" bestFit="1" customWidth="1"/>
    <col min="5379" max="5379" width="5.33203125" bestFit="1" customWidth="1"/>
    <col min="5380" max="5380" width="18.109375" bestFit="1" customWidth="1"/>
    <col min="5381" max="5381" width="13.6640625" bestFit="1" customWidth="1"/>
    <col min="5388" max="5388" width="11.6640625" bestFit="1" customWidth="1"/>
    <col min="5633" max="5633" width="22.88671875" bestFit="1" customWidth="1"/>
    <col min="5634" max="5634" width="12.6640625" bestFit="1" customWidth="1"/>
    <col min="5635" max="5635" width="5.33203125" bestFit="1" customWidth="1"/>
    <col min="5636" max="5636" width="18.109375" bestFit="1" customWidth="1"/>
    <col min="5637" max="5637" width="13.6640625" bestFit="1" customWidth="1"/>
    <col min="5644" max="5644" width="11.6640625" bestFit="1" customWidth="1"/>
    <col min="5889" max="5889" width="22.88671875" bestFit="1" customWidth="1"/>
    <col min="5890" max="5890" width="12.6640625" bestFit="1" customWidth="1"/>
    <col min="5891" max="5891" width="5.33203125" bestFit="1" customWidth="1"/>
    <col min="5892" max="5892" width="18.109375" bestFit="1" customWidth="1"/>
    <col min="5893" max="5893" width="13.6640625" bestFit="1" customWidth="1"/>
    <col min="5900" max="5900" width="11.6640625" bestFit="1" customWidth="1"/>
    <col min="6145" max="6145" width="22.88671875" bestFit="1" customWidth="1"/>
    <col min="6146" max="6146" width="12.6640625" bestFit="1" customWidth="1"/>
    <col min="6147" max="6147" width="5.33203125" bestFit="1" customWidth="1"/>
    <col min="6148" max="6148" width="18.109375" bestFit="1" customWidth="1"/>
    <col min="6149" max="6149" width="13.6640625" bestFit="1" customWidth="1"/>
    <col min="6156" max="6156" width="11.6640625" bestFit="1" customWidth="1"/>
    <col min="6401" max="6401" width="22.88671875" bestFit="1" customWidth="1"/>
    <col min="6402" max="6402" width="12.6640625" bestFit="1" customWidth="1"/>
    <col min="6403" max="6403" width="5.33203125" bestFit="1" customWidth="1"/>
    <col min="6404" max="6404" width="18.109375" bestFit="1" customWidth="1"/>
    <col min="6405" max="6405" width="13.6640625" bestFit="1" customWidth="1"/>
    <col min="6412" max="6412" width="11.6640625" bestFit="1" customWidth="1"/>
    <col min="6657" max="6657" width="22.88671875" bestFit="1" customWidth="1"/>
    <col min="6658" max="6658" width="12.6640625" bestFit="1" customWidth="1"/>
    <col min="6659" max="6659" width="5.33203125" bestFit="1" customWidth="1"/>
    <col min="6660" max="6660" width="18.109375" bestFit="1" customWidth="1"/>
    <col min="6661" max="6661" width="13.6640625" bestFit="1" customWidth="1"/>
    <col min="6668" max="6668" width="11.6640625" bestFit="1" customWidth="1"/>
    <col min="6913" max="6913" width="22.88671875" bestFit="1" customWidth="1"/>
    <col min="6914" max="6914" width="12.6640625" bestFit="1" customWidth="1"/>
    <col min="6915" max="6915" width="5.33203125" bestFit="1" customWidth="1"/>
    <col min="6916" max="6916" width="18.109375" bestFit="1" customWidth="1"/>
    <col min="6917" max="6917" width="13.6640625" bestFit="1" customWidth="1"/>
    <col min="6924" max="6924" width="11.6640625" bestFit="1" customWidth="1"/>
    <col min="7169" max="7169" width="22.88671875" bestFit="1" customWidth="1"/>
    <col min="7170" max="7170" width="12.6640625" bestFit="1" customWidth="1"/>
    <col min="7171" max="7171" width="5.33203125" bestFit="1" customWidth="1"/>
    <col min="7172" max="7172" width="18.109375" bestFit="1" customWidth="1"/>
    <col min="7173" max="7173" width="13.6640625" bestFit="1" customWidth="1"/>
    <col min="7180" max="7180" width="11.6640625" bestFit="1" customWidth="1"/>
    <col min="7425" max="7425" width="22.88671875" bestFit="1" customWidth="1"/>
    <col min="7426" max="7426" width="12.6640625" bestFit="1" customWidth="1"/>
    <col min="7427" max="7427" width="5.33203125" bestFit="1" customWidth="1"/>
    <col min="7428" max="7428" width="18.109375" bestFit="1" customWidth="1"/>
    <col min="7429" max="7429" width="13.6640625" bestFit="1" customWidth="1"/>
    <col min="7436" max="7436" width="11.6640625" bestFit="1" customWidth="1"/>
    <col min="7681" max="7681" width="22.88671875" bestFit="1" customWidth="1"/>
    <col min="7682" max="7682" width="12.6640625" bestFit="1" customWidth="1"/>
    <col min="7683" max="7683" width="5.33203125" bestFit="1" customWidth="1"/>
    <col min="7684" max="7684" width="18.109375" bestFit="1" customWidth="1"/>
    <col min="7685" max="7685" width="13.6640625" bestFit="1" customWidth="1"/>
    <col min="7692" max="7692" width="11.6640625" bestFit="1" customWidth="1"/>
    <col min="7937" max="7937" width="22.88671875" bestFit="1" customWidth="1"/>
    <col min="7938" max="7938" width="12.6640625" bestFit="1" customWidth="1"/>
    <col min="7939" max="7939" width="5.33203125" bestFit="1" customWidth="1"/>
    <col min="7940" max="7940" width="18.109375" bestFit="1" customWidth="1"/>
    <col min="7941" max="7941" width="13.6640625" bestFit="1" customWidth="1"/>
    <col min="7948" max="7948" width="11.6640625" bestFit="1" customWidth="1"/>
    <col min="8193" max="8193" width="22.88671875" bestFit="1" customWidth="1"/>
    <col min="8194" max="8194" width="12.6640625" bestFit="1" customWidth="1"/>
    <col min="8195" max="8195" width="5.33203125" bestFit="1" customWidth="1"/>
    <col min="8196" max="8196" width="18.109375" bestFit="1" customWidth="1"/>
    <col min="8197" max="8197" width="13.6640625" bestFit="1" customWidth="1"/>
    <col min="8204" max="8204" width="11.6640625" bestFit="1" customWidth="1"/>
    <col min="8449" max="8449" width="22.88671875" bestFit="1" customWidth="1"/>
    <col min="8450" max="8450" width="12.6640625" bestFit="1" customWidth="1"/>
    <col min="8451" max="8451" width="5.33203125" bestFit="1" customWidth="1"/>
    <col min="8452" max="8452" width="18.109375" bestFit="1" customWidth="1"/>
    <col min="8453" max="8453" width="13.6640625" bestFit="1" customWidth="1"/>
    <col min="8460" max="8460" width="11.6640625" bestFit="1" customWidth="1"/>
    <col min="8705" max="8705" width="22.88671875" bestFit="1" customWidth="1"/>
    <col min="8706" max="8706" width="12.6640625" bestFit="1" customWidth="1"/>
    <col min="8707" max="8707" width="5.33203125" bestFit="1" customWidth="1"/>
    <col min="8708" max="8708" width="18.109375" bestFit="1" customWidth="1"/>
    <col min="8709" max="8709" width="13.6640625" bestFit="1" customWidth="1"/>
    <col min="8716" max="8716" width="11.6640625" bestFit="1" customWidth="1"/>
    <col min="8961" max="8961" width="22.88671875" bestFit="1" customWidth="1"/>
    <col min="8962" max="8962" width="12.6640625" bestFit="1" customWidth="1"/>
    <col min="8963" max="8963" width="5.33203125" bestFit="1" customWidth="1"/>
    <col min="8964" max="8964" width="18.109375" bestFit="1" customWidth="1"/>
    <col min="8965" max="8965" width="13.6640625" bestFit="1" customWidth="1"/>
    <col min="8972" max="8972" width="11.6640625" bestFit="1" customWidth="1"/>
    <col min="9217" max="9217" width="22.88671875" bestFit="1" customWidth="1"/>
    <col min="9218" max="9218" width="12.6640625" bestFit="1" customWidth="1"/>
    <col min="9219" max="9219" width="5.33203125" bestFit="1" customWidth="1"/>
    <col min="9220" max="9220" width="18.109375" bestFit="1" customWidth="1"/>
    <col min="9221" max="9221" width="13.6640625" bestFit="1" customWidth="1"/>
    <col min="9228" max="9228" width="11.6640625" bestFit="1" customWidth="1"/>
    <col min="9473" max="9473" width="22.88671875" bestFit="1" customWidth="1"/>
    <col min="9474" max="9474" width="12.6640625" bestFit="1" customWidth="1"/>
    <col min="9475" max="9475" width="5.33203125" bestFit="1" customWidth="1"/>
    <col min="9476" max="9476" width="18.109375" bestFit="1" customWidth="1"/>
    <col min="9477" max="9477" width="13.6640625" bestFit="1" customWidth="1"/>
    <col min="9484" max="9484" width="11.6640625" bestFit="1" customWidth="1"/>
    <col min="9729" max="9729" width="22.88671875" bestFit="1" customWidth="1"/>
    <col min="9730" max="9730" width="12.6640625" bestFit="1" customWidth="1"/>
    <col min="9731" max="9731" width="5.33203125" bestFit="1" customWidth="1"/>
    <col min="9732" max="9732" width="18.109375" bestFit="1" customWidth="1"/>
    <col min="9733" max="9733" width="13.6640625" bestFit="1" customWidth="1"/>
    <col min="9740" max="9740" width="11.6640625" bestFit="1" customWidth="1"/>
    <col min="9985" max="9985" width="22.88671875" bestFit="1" customWidth="1"/>
    <col min="9986" max="9986" width="12.6640625" bestFit="1" customWidth="1"/>
    <col min="9987" max="9987" width="5.33203125" bestFit="1" customWidth="1"/>
    <col min="9988" max="9988" width="18.109375" bestFit="1" customWidth="1"/>
    <col min="9989" max="9989" width="13.6640625" bestFit="1" customWidth="1"/>
    <col min="9996" max="9996" width="11.6640625" bestFit="1" customWidth="1"/>
    <col min="10241" max="10241" width="22.88671875" bestFit="1" customWidth="1"/>
    <col min="10242" max="10242" width="12.6640625" bestFit="1" customWidth="1"/>
    <col min="10243" max="10243" width="5.33203125" bestFit="1" customWidth="1"/>
    <col min="10244" max="10244" width="18.109375" bestFit="1" customWidth="1"/>
    <col min="10245" max="10245" width="13.6640625" bestFit="1" customWidth="1"/>
    <col min="10252" max="10252" width="11.6640625" bestFit="1" customWidth="1"/>
    <col min="10497" max="10497" width="22.88671875" bestFit="1" customWidth="1"/>
    <col min="10498" max="10498" width="12.6640625" bestFit="1" customWidth="1"/>
    <col min="10499" max="10499" width="5.33203125" bestFit="1" customWidth="1"/>
    <col min="10500" max="10500" width="18.109375" bestFit="1" customWidth="1"/>
    <col min="10501" max="10501" width="13.6640625" bestFit="1" customWidth="1"/>
    <col min="10508" max="10508" width="11.6640625" bestFit="1" customWidth="1"/>
    <col min="10753" max="10753" width="22.88671875" bestFit="1" customWidth="1"/>
    <col min="10754" max="10754" width="12.6640625" bestFit="1" customWidth="1"/>
    <col min="10755" max="10755" width="5.33203125" bestFit="1" customWidth="1"/>
    <col min="10756" max="10756" width="18.109375" bestFit="1" customWidth="1"/>
    <col min="10757" max="10757" width="13.6640625" bestFit="1" customWidth="1"/>
    <col min="10764" max="10764" width="11.6640625" bestFit="1" customWidth="1"/>
    <col min="11009" max="11009" width="22.88671875" bestFit="1" customWidth="1"/>
    <col min="11010" max="11010" width="12.6640625" bestFit="1" customWidth="1"/>
    <col min="11011" max="11011" width="5.33203125" bestFit="1" customWidth="1"/>
    <col min="11012" max="11012" width="18.109375" bestFit="1" customWidth="1"/>
    <col min="11013" max="11013" width="13.6640625" bestFit="1" customWidth="1"/>
    <col min="11020" max="11020" width="11.6640625" bestFit="1" customWidth="1"/>
    <col min="11265" max="11265" width="22.88671875" bestFit="1" customWidth="1"/>
    <col min="11266" max="11266" width="12.6640625" bestFit="1" customWidth="1"/>
    <col min="11267" max="11267" width="5.33203125" bestFit="1" customWidth="1"/>
    <col min="11268" max="11268" width="18.109375" bestFit="1" customWidth="1"/>
    <col min="11269" max="11269" width="13.6640625" bestFit="1" customWidth="1"/>
    <col min="11276" max="11276" width="11.6640625" bestFit="1" customWidth="1"/>
    <col min="11521" max="11521" width="22.88671875" bestFit="1" customWidth="1"/>
    <col min="11522" max="11522" width="12.6640625" bestFit="1" customWidth="1"/>
    <col min="11523" max="11523" width="5.33203125" bestFit="1" customWidth="1"/>
    <col min="11524" max="11524" width="18.109375" bestFit="1" customWidth="1"/>
    <col min="11525" max="11525" width="13.6640625" bestFit="1" customWidth="1"/>
    <col min="11532" max="11532" width="11.6640625" bestFit="1" customWidth="1"/>
    <col min="11777" max="11777" width="22.88671875" bestFit="1" customWidth="1"/>
    <col min="11778" max="11778" width="12.6640625" bestFit="1" customWidth="1"/>
    <col min="11779" max="11779" width="5.33203125" bestFit="1" customWidth="1"/>
    <col min="11780" max="11780" width="18.109375" bestFit="1" customWidth="1"/>
    <col min="11781" max="11781" width="13.6640625" bestFit="1" customWidth="1"/>
    <col min="11788" max="11788" width="11.6640625" bestFit="1" customWidth="1"/>
    <col min="12033" max="12033" width="22.88671875" bestFit="1" customWidth="1"/>
    <col min="12034" max="12034" width="12.6640625" bestFit="1" customWidth="1"/>
    <col min="12035" max="12035" width="5.33203125" bestFit="1" customWidth="1"/>
    <col min="12036" max="12036" width="18.109375" bestFit="1" customWidth="1"/>
    <col min="12037" max="12037" width="13.6640625" bestFit="1" customWidth="1"/>
    <col min="12044" max="12044" width="11.6640625" bestFit="1" customWidth="1"/>
    <col min="12289" max="12289" width="22.88671875" bestFit="1" customWidth="1"/>
    <col min="12290" max="12290" width="12.6640625" bestFit="1" customWidth="1"/>
    <col min="12291" max="12291" width="5.33203125" bestFit="1" customWidth="1"/>
    <col min="12292" max="12292" width="18.109375" bestFit="1" customWidth="1"/>
    <col min="12293" max="12293" width="13.6640625" bestFit="1" customWidth="1"/>
    <col min="12300" max="12300" width="11.6640625" bestFit="1" customWidth="1"/>
    <col min="12545" max="12545" width="22.88671875" bestFit="1" customWidth="1"/>
    <col min="12546" max="12546" width="12.6640625" bestFit="1" customWidth="1"/>
    <col min="12547" max="12547" width="5.33203125" bestFit="1" customWidth="1"/>
    <col min="12548" max="12548" width="18.109375" bestFit="1" customWidth="1"/>
    <col min="12549" max="12549" width="13.6640625" bestFit="1" customWidth="1"/>
    <col min="12556" max="12556" width="11.6640625" bestFit="1" customWidth="1"/>
    <col min="12801" max="12801" width="22.88671875" bestFit="1" customWidth="1"/>
    <col min="12802" max="12802" width="12.6640625" bestFit="1" customWidth="1"/>
    <col min="12803" max="12803" width="5.33203125" bestFit="1" customWidth="1"/>
    <col min="12804" max="12804" width="18.109375" bestFit="1" customWidth="1"/>
    <col min="12805" max="12805" width="13.6640625" bestFit="1" customWidth="1"/>
    <col min="12812" max="12812" width="11.6640625" bestFit="1" customWidth="1"/>
    <col min="13057" max="13057" width="22.88671875" bestFit="1" customWidth="1"/>
    <col min="13058" max="13058" width="12.6640625" bestFit="1" customWidth="1"/>
    <col min="13059" max="13059" width="5.33203125" bestFit="1" customWidth="1"/>
    <col min="13060" max="13060" width="18.109375" bestFit="1" customWidth="1"/>
    <col min="13061" max="13061" width="13.6640625" bestFit="1" customWidth="1"/>
    <col min="13068" max="13068" width="11.6640625" bestFit="1" customWidth="1"/>
    <col min="13313" max="13313" width="22.88671875" bestFit="1" customWidth="1"/>
    <col min="13314" max="13314" width="12.6640625" bestFit="1" customWidth="1"/>
    <col min="13315" max="13315" width="5.33203125" bestFit="1" customWidth="1"/>
    <col min="13316" max="13316" width="18.109375" bestFit="1" customWidth="1"/>
    <col min="13317" max="13317" width="13.6640625" bestFit="1" customWidth="1"/>
    <col min="13324" max="13324" width="11.6640625" bestFit="1" customWidth="1"/>
    <col min="13569" max="13569" width="22.88671875" bestFit="1" customWidth="1"/>
    <col min="13570" max="13570" width="12.6640625" bestFit="1" customWidth="1"/>
    <col min="13571" max="13571" width="5.33203125" bestFit="1" customWidth="1"/>
    <col min="13572" max="13572" width="18.109375" bestFit="1" customWidth="1"/>
    <col min="13573" max="13573" width="13.6640625" bestFit="1" customWidth="1"/>
    <col min="13580" max="13580" width="11.6640625" bestFit="1" customWidth="1"/>
    <col min="13825" max="13825" width="22.88671875" bestFit="1" customWidth="1"/>
    <col min="13826" max="13826" width="12.6640625" bestFit="1" customWidth="1"/>
    <col min="13827" max="13827" width="5.33203125" bestFit="1" customWidth="1"/>
    <col min="13828" max="13828" width="18.109375" bestFit="1" customWidth="1"/>
    <col min="13829" max="13829" width="13.6640625" bestFit="1" customWidth="1"/>
    <col min="13836" max="13836" width="11.6640625" bestFit="1" customWidth="1"/>
    <col min="14081" max="14081" width="22.88671875" bestFit="1" customWidth="1"/>
    <col min="14082" max="14082" width="12.6640625" bestFit="1" customWidth="1"/>
    <col min="14083" max="14083" width="5.33203125" bestFit="1" customWidth="1"/>
    <col min="14084" max="14084" width="18.109375" bestFit="1" customWidth="1"/>
    <col min="14085" max="14085" width="13.6640625" bestFit="1" customWidth="1"/>
    <col min="14092" max="14092" width="11.6640625" bestFit="1" customWidth="1"/>
    <col min="14337" max="14337" width="22.88671875" bestFit="1" customWidth="1"/>
    <col min="14338" max="14338" width="12.6640625" bestFit="1" customWidth="1"/>
    <col min="14339" max="14339" width="5.33203125" bestFit="1" customWidth="1"/>
    <col min="14340" max="14340" width="18.109375" bestFit="1" customWidth="1"/>
    <col min="14341" max="14341" width="13.6640625" bestFit="1" customWidth="1"/>
    <col min="14348" max="14348" width="11.6640625" bestFit="1" customWidth="1"/>
    <col min="14593" max="14593" width="22.88671875" bestFit="1" customWidth="1"/>
    <col min="14594" max="14594" width="12.6640625" bestFit="1" customWidth="1"/>
    <col min="14595" max="14595" width="5.33203125" bestFit="1" customWidth="1"/>
    <col min="14596" max="14596" width="18.109375" bestFit="1" customWidth="1"/>
    <col min="14597" max="14597" width="13.6640625" bestFit="1" customWidth="1"/>
    <col min="14604" max="14604" width="11.6640625" bestFit="1" customWidth="1"/>
    <col min="14849" max="14849" width="22.88671875" bestFit="1" customWidth="1"/>
    <col min="14850" max="14850" width="12.6640625" bestFit="1" customWidth="1"/>
    <col min="14851" max="14851" width="5.33203125" bestFit="1" customWidth="1"/>
    <col min="14852" max="14852" width="18.109375" bestFit="1" customWidth="1"/>
    <col min="14853" max="14853" width="13.6640625" bestFit="1" customWidth="1"/>
    <col min="14860" max="14860" width="11.6640625" bestFit="1" customWidth="1"/>
    <col min="15105" max="15105" width="22.88671875" bestFit="1" customWidth="1"/>
    <col min="15106" max="15106" width="12.6640625" bestFit="1" customWidth="1"/>
    <col min="15107" max="15107" width="5.33203125" bestFit="1" customWidth="1"/>
    <col min="15108" max="15108" width="18.109375" bestFit="1" customWidth="1"/>
    <col min="15109" max="15109" width="13.6640625" bestFit="1" customWidth="1"/>
    <col min="15116" max="15116" width="11.6640625" bestFit="1" customWidth="1"/>
    <col min="15361" max="15361" width="22.88671875" bestFit="1" customWidth="1"/>
    <col min="15362" max="15362" width="12.6640625" bestFit="1" customWidth="1"/>
    <col min="15363" max="15363" width="5.33203125" bestFit="1" customWidth="1"/>
    <col min="15364" max="15364" width="18.109375" bestFit="1" customWidth="1"/>
    <col min="15365" max="15365" width="13.6640625" bestFit="1" customWidth="1"/>
    <col min="15372" max="15372" width="11.6640625" bestFit="1" customWidth="1"/>
    <col min="15617" max="15617" width="22.88671875" bestFit="1" customWidth="1"/>
    <col min="15618" max="15618" width="12.6640625" bestFit="1" customWidth="1"/>
    <col min="15619" max="15619" width="5.33203125" bestFit="1" customWidth="1"/>
    <col min="15620" max="15620" width="18.109375" bestFit="1" customWidth="1"/>
    <col min="15621" max="15621" width="13.6640625" bestFit="1" customWidth="1"/>
    <col min="15628" max="15628" width="11.6640625" bestFit="1" customWidth="1"/>
    <col min="15873" max="15873" width="22.88671875" bestFit="1" customWidth="1"/>
    <col min="15874" max="15874" width="12.6640625" bestFit="1" customWidth="1"/>
    <col min="15875" max="15875" width="5.33203125" bestFit="1" customWidth="1"/>
    <col min="15876" max="15876" width="18.109375" bestFit="1" customWidth="1"/>
    <col min="15877" max="15877" width="13.6640625" bestFit="1" customWidth="1"/>
    <col min="15884" max="15884" width="11.6640625" bestFit="1" customWidth="1"/>
    <col min="16129" max="16129" width="22.88671875" bestFit="1" customWidth="1"/>
    <col min="16130" max="16130" width="12.6640625" bestFit="1" customWidth="1"/>
    <col min="16131" max="16131" width="5.33203125" bestFit="1" customWidth="1"/>
    <col min="16132" max="16132" width="18.109375" bestFit="1" customWidth="1"/>
    <col min="16133" max="16133" width="13.6640625" bestFit="1" customWidth="1"/>
    <col min="16140" max="16140" width="11.6640625" bestFit="1" customWidth="1"/>
  </cols>
  <sheetData>
    <row r="1" spans="1:12" x14ac:dyDescent="0.3">
      <c r="A1" s="25">
        <v>5.0999999999999996</v>
      </c>
      <c r="B1" s="25"/>
      <c r="C1" s="25"/>
      <c r="D1" s="25"/>
      <c r="E1" s="25"/>
    </row>
    <row r="2" spans="1:12" x14ac:dyDescent="0.3">
      <c r="A2" s="49" t="s">
        <v>150</v>
      </c>
      <c r="B2" s="49">
        <v>0.1</v>
      </c>
    </row>
    <row r="3" spans="1:12" x14ac:dyDescent="0.3">
      <c r="A3" s="1" t="s">
        <v>151</v>
      </c>
      <c r="B3" s="21">
        <f>SUM(B5:B8)</f>
        <v>10000000</v>
      </c>
    </row>
    <row r="4" spans="1:12" x14ac:dyDescent="0.3">
      <c r="B4" s="22"/>
      <c r="C4" s="82" t="s">
        <v>25</v>
      </c>
      <c r="D4" s="82" t="s">
        <v>152</v>
      </c>
      <c r="E4" s="82" t="s">
        <v>153</v>
      </c>
      <c r="L4" s="1" t="s">
        <v>88</v>
      </c>
    </row>
    <row r="5" spans="1:12" x14ac:dyDescent="0.3">
      <c r="A5" s="1" t="s">
        <v>154</v>
      </c>
      <c r="B5" s="21">
        <v>1000000</v>
      </c>
      <c r="C5" s="1">
        <v>0</v>
      </c>
      <c r="D5" s="30">
        <f>-PV($B$2,C5,,B5)</f>
        <v>1000000</v>
      </c>
      <c r="E5" s="1"/>
      <c r="L5" s="21">
        <f>B5/((1+$B$2)^C5)</f>
        <v>1000000</v>
      </c>
    </row>
    <row r="6" spans="1:12" x14ac:dyDescent="0.3">
      <c r="A6" s="1" t="s">
        <v>155</v>
      </c>
      <c r="B6" s="21">
        <v>2000000</v>
      </c>
      <c r="C6" s="1">
        <v>1</v>
      </c>
      <c r="D6" s="30">
        <f>-PV($B$2,C6,,B6)</f>
        <v>1818181.8181818181</v>
      </c>
      <c r="E6" s="1"/>
      <c r="L6" s="21">
        <f>B6/((1+$B$2)^C6)</f>
        <v>1818181.8181818181</v>
      </c>
    </row>
    <row r="7" spans="1:12" x14ac:dyDescent="0.3">
      <c r="A7" s="1" t="s">
        <v>156</v>
      </c>
      <c r="B7" s="21">
        <v>3000000</v>
      </c>
      <c r="C7" s="1">
        <v>2</v>
      </c>
      <c r="D7" s="30">
        <f>-PV($B$2,C7,,B7)</f>
        <v>2479338.8429752062</v>
      </c>
      <c r="E7" s="1"/>
      <c r="L7" s="21">
        <f>B7/((1+$B$2)^C7)</f>
        <v>2479338.8429752062</v>
      </c>
    </row>
    <row r="8" spans="1:12" x14ac:dyDescent="0.3">
      <c r="A8" s="1" t="s">
        <v>157</v>
      </c>
      <c r="B8" s="21">
        <v>4000000</v>
      </c>
      <c r="C8" s="1">
        <v>3</v>
      </c>
      <c r="D8" s="30">
        <f>-PV($B$2,C8,,B8)</f>
        <v>3005259.2036063103</v>
      </c>
      <c r="E8" s="1"/>
      <c r="L8" s="21">
        <f>B8/((1+$B$2)^C8)</f>
        <v>3005259.2036063103</v>
      </c>
    </row>
    <row r="9" spans="1:12" ht="43.2" x14ac:dyDescent="0.3">
      <c r="A9" s="1"/>
      <c r="B9" s="1"/>
      <c r="C9" s="1"/>
      <c r="D9" s="30">
        <f>SUM(D5:D8)</f>
        <v>8302779.8647633353</v>
      </c>
      <c r="E9" s="30">
        <f>NPV(B2,B6:B8)+B5</f>
        <v>8302779.8647633344</v>
      </c>
      <c r="F9" s="101" t="s">
        <v>158</v>
      </c>
      <c r="G9" s="23"/>
      <c r="H9" s="23"/>
      <c r="I9" s="23"/>
      <c r="J9" s="23"/>
      <c r="L9" s="21">
        <f>SUM(L5:L8)</f>
        <v>8302779.8647633353</v>
      </c>
    </row>
    <row r="11" spans="1:12" ht="72" x14ac:dyDescent="0.3">
      <c r="A11" s="1" t="s">
        <v>82</v>
      </c>
      <c r="B11" s="58" t="s">
        <v>159</v>
      </c>
      <c r="C11" s="59"/>
      <c r="D11" s="59"/>
      <c r="E11" s="59"/>
      <c r="F11" s="60"/>
    </row>
    <row r="12" spans="1:12" ht="28.95" x14ac:dyDescent="0.3">
      <c r="A12" s="1"/>
      <c r="B12" s="58" t="str">
        <f>IF(E9="","","If we calculate the Present Value then we can say that the contact is worth "&amp;DOLLAR(E9)&amp;" today.")</f>
        <v>If we calculate the Present Value then we can say that the contact is worth $8,302,779.86 today.</v>
      </c>
      <c r="C12" s="59"/>
      <c r="D12" s="59"/>
      <c r="E12" s="59"/>
      <c r="F12" s="60"/>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15"/>
  <sheetViews>
    <sheetView zoomScale="85" zoomScaleNormal="85" workbookViewId="0">
      <selection activeCell="G3" sqref="G3:H16"/>
    </sheetView>
  </sheetViews>
  <sheetFormatPr defaultRowHeight="14.4" x14ac:dyDescent="0.3"/>
  <cols>
    <col min="1" max="1" width="14.6640625" bestFit="1" customWidth="1"/>
    <col min="2" max="2" width="9.88671875" bestFit="1" customWidth="1"/>
    <col min="3" max="5" width="15" customWidth="1"/>
    <col min="6" max="7" width="12.33203125" customWidth="1"/>
    <col min="8" max="8" width="10.6640625" bestFit="1" customWidth="1"/>
    <col min="257" max="257" width="14.6640625" bestFit="1" customWidth="1"/>
    <col min="258" max="258" width="9.88671875" bestFit="1" customWidth="1"/>
    <col min="259" max="261" width="15" customWidth="1"/>
    <col min="262" max="263" width="12.33203125" customWidth="1"/>
    <col min="264" max="264" width="10.6640625" bestFit="1" customWidth="1"/>
    <col min="513" max="513" width="14.6640625" bestFit="1" customWidth="1"/>
    <col min="514" max="514" width="9.88671875" bestFit="1" customWidth="1"/>
    <col min="515" max="517" width="15" customWidth="1"/>
    <col min="518" max="519" width="12.33203125" customWidth="1"/>
    <col min="520" max="520" width="10.6640625" bestFit="1" customWidth="1"/>
    <col min="769" max="769" width="14.6640625" bestFit="1" customWidth="1"/>
    <col min="770" max="770" width="9.88671875" bestFit="1" customWidth="1"/>
    <col min="771" max="773" width="15" customWidth="1"/>
    <col min="774" max="775" width="12.33203125" customWidth="1"/>
    <col min="776" max="776" width="10.6640625" bestFit="1" customWidth="1"/>
    <col min="1025" max="1025" width="14.6640625" bestFit="1" customWidth="1"/>
    <col min="1026" max="1026" width="9.88671875" bestFit="1" customWidth="1"/>
    <col min="1027" max="1029" width="15" customWidth="1"/>
    <col min="1030" max="1031" width="12.33203125" customWidth="1"/>
    <col min="1032" max="1032" width="10.6640625" bestFit="1" customWidth="1"/>
    <col min="1281" max="1281" width="14.6640625" bestFit="1" customWidth="1"/>
    <col min="1282" max="1282" width="9.88671875" bestFit="1" customWidth="1"/>
    <col min="1283" max="1285" width="15" customWidth="1"/>
    <col min="1286" max="1287" width="12.33203125" customWidth="1"/>
    <col min="1288" max="1288" width="10.6640625" bestFit="1" customWidth="1"/>
    <col min="1537" max="1537" width="14.6640625" bestFit="1" customWidth="1"/>
    <col min="1538" max="1538" width="9.88671875" bestFit="1" customWidth="1"/>
    <col min="1539" max="1541" width="15" customWidth="1"/>
    <col min="1542" max="1543" width="12.33203125" customWidth="1"/>
    <col min="1544" max="1544" width="10.6640625" bestFit="1" customWidth="1"/>
    <col min="1793" max="1793" width="14.6640625" bestFit="1" customWidth="1"/>
    <col min="1794" max="1794" width="9.88671875" bestFit="1" customWidth="1"/>
    <col min="1795" max="1797" width="15" customWidth="1"/>
    <col min="1798" max="1799" width="12.33203125" customWidth="1"/>
    <col min="1800" max="1800" width="10.6640625" bestFit="1" customWidth="1"/>
    <col min="2049" max="2049" width="14.6640625" bestFit="1" customWidth="1"/>
    <col min="2050" max="2050" width="9.88671875" bestFit="1" customWidth="1"/>
    <col min="2051" max="2053" width="15" customWidth="1"/>
    <col min="2054" max="2055" width="12.33203125" customWidth="1"/>
    <col min="2056" max="2056" width="10.6640625" bestFit="1" customWidth="1"/>
    <col min="2305" max="2305" width="14.6640625" bestFit="1" customWidth="1"/>
    <col min="2306" max="2306" width="9.88671875" bestFit="1" customWidth="1"/>
    <col min="2307" max="2309" width="15" customWidth="1"/>
    <col min="2310" max="2311" width="12.33203125" customWidth="1"/>
    <col min="2312" max="2312" width="10.6640625" bestFit="1" customWidth="1"/>
    <col min="2561" max="2561" width="14.6640625" bestFit="1" customWidth="1"/>
    <col min="2562" max="2562" width="9.88671875" bestFit="1" customWidth="1"/>
    <col min="2563" max="2565" width="15" customWidth="1"/>
    <col min="2566" max="2567" width="12.33203125" customWidth="1"/>
    <col min="2568" max="2568" width="10.6640625" bestFit="1" customWidth="1"/>
    <col min="2817" max="2817" width="14.6640625" bestFit="1" customWidth="1"/>
    <col min="2818" max="2818" width="9.88671875" bestFit="1" customWidth="1"/>
    <col min="2819" max="2821" width="15" customWidth="1"/>
    <col min="2822" max="2823" width="12.33203125" customWidth="1"/>
    <col min="2824" max="2824" width="10.6640625" bestFit="1" customWidth="1"/>
    <col min="3073" max="3073" width="14.6640625" bestFit="1" customWidth="1"/>
    <col min="3074" max="3074" width="9.88671875" bestFit="1" customWidth="1"/>
    <col min="3075" max="3077" width="15" customWidth="1"/>
    <col min="3078" max="3079" width="12.33203125" customWidth="1"/>
    <col min="3080" max="3080" width="10.6640625" bestFit="1" customWidth="1"/>
    <col min="3329" max="3329" width="14.6640625" bestFit="1" customWidth="1"/>
    <col min="3330" max="3330" width="9.88671875" bestFit="1" customWidth="1"/>
    <col min="3331" max="3333" width="15" customWidth="1"/>
    <col min="3334" max="3335" width="12.33203125" customWidth="1"/>
    <col min="3336" max="3336" width="10.6640625" bestFit="1" customWidth="1"/>
    <col min="3585" max="3585" width="14.6640625" bestFit="1" customWidth="1"/>
    <col min="3586" max="3586" width="9.88671875" bestFit="1" customWidth="1"/>
    <col min="3587" max="3589" width="15" customWidth="1"/>
    <col min="3590" max="3591" width="12.33203125" customWidth="1"/>
    <col min="3592" max="3592" width="10.6640625" bestFit="1" customWidth="1"/>
    <col min="3841" max="3841" width="14.6640625" bestFit="1" customWidth="1"/>
    <col min="3842" max="3842" width="9.88671875" bestFit="1" customWidth="1"/>
    <col min="3843" max="3845" width="15" customWidth="1"/>
    <col min="3846" max="3847" width="12.33203125" customWidth="1"/>
    <col min="3848" max="3848" width="10.6640625" bestFit="1" customWidth="1"/>
    <col min="4097" max="4097" width="14.6640625" bestFit="1" customWidth="1"/>
    <col min="4098" max="4098" width="9.88671875" bestFit="1" customWidth="1"/>
    <col min="4099" max="4101" width="15" customWidth="1"/>
    <col min="4102" max="4103" width="12.33203125" customWidth="1"/>
    <col min="4104" max="4104" width="10.6640625" bestFit="1" customWidth="1"/>
    <col min="4353" max="4353" width="14.6640625" bestFit="1" customWidth="1"/>
    <col min="4354" max="4354" width="9.88671875" bestFit="1" customWidth="1"/>
    <col min="4355" max="4357" width="15" customWidth="1"/>
    <col min="4358" max="4359" width="12.33203125" customWidth="1"/>
    <col min="4360" max="4360" width="10.6640625" bestFit="1" customWidth="1"/>
    <col min="4609" max="4609" width="14.6640625" bestFit="1" customWidth="1"/>
    <col min="4610" max="4610" width="9.88671875" bestFit="1" customWidth="1"/>
    <col min="4611" max="4613" width="15" customWidth="1"/>
    <col min="4614" max="4615" width="12.33203125" customWidth="1"/>
    <col min="4616" max="4616" width="10.6640625" bestFit="1" customWidth="1"/>
    <col min="4865" max="4865" width="14.6640625" bestFit="1" customWidth="1"/>
    <col min="4866" max="4866" width="9.88671875" bestFit="1" customWidth="1"/>
    <col min="4867" max="4869" width="15" customWidth="1"/>
    <col min="4870" max="4871" width="12.33203125" customWidth="1"/>
    <col min="4872" max="4872" width="10.6640625" bestFit="1" customWidth="1"/>
    <col min="5121" max="5121" width="14.6640625" bestFit="1" customWidth="1"/>
    <col min="5122" max="5122" width="9.88671875" bestFit="1" customWidth="1"/>
    <col min="5123" max="5125" width="15" customWidth="1"/>
    <col min="5126" max="5127" width="12.33203125" customWidth="1"/>
    <col min="5128" max="5128" width="10.6640625" bestFit="1" customWidth="1"/>
    <col min="5377" max="5377" width="14.6640625" bestFit="1" customWidth="1"/>
    <col min="5378" max="5378" width="9.88671875" bestFit="1" customWidth="1"/>
    <col min="5379" max="5381" width="15" customWidth="1"/>
    <col min="5382" max="5383" width="12.33203125" customWidth="1"/>
    <col min="5384" max="5384" width="10.6640625" bestFit="1" customWidth="1"/>
    <col min="5633" max="5633" width="14.6640625" bestFit="1" customWidth="1"/>
    <col min="5634" max="5634" width="9.88671875" bestFit="1" customWidth="1"/>
    <col min="5635" max="5637" width="15" customWidth="1"/>
    <col min="5638" max="5639" width="12.33203125" customWidth="1"/>
    <col min="5640" max="5640" width="10.6640625" bestFit="1" customWidth="1"/>
    <col min="5889" max="5889" width="14.6640625" bestFit="1" customWidth="1"/>
    <col min="5890" max="5890" width="9.88671875" bestFit="1" customWidth="1"/>
    <col min="5891" max="5893" width="15" customWidth="1"/>
    <col min="5894" max="5895" width="12.33203125" customWidth="1"/>
    <col min="5896" max="5896" width="10.6640625" bestFit="1" customWidth="1"/>
    <col min="6145" max="6145" width="14.6640625" bestFit="1" customWidth="1"/>
    <col min="6146" max="6146" width="9.88671875" bestFit="1" customWidth="1"/>
    <col min="6147" max="6149" width="15" customWidth="1"/>
    <col min="6150" max="6151" width="12.33203125" customWidth="1"/>
    <col min="6152" max="6152" width="10.6640625" bestFit="1" customWidth="1"/>
    <col min="6401" max="6401" width="14.6640625" bestFit="1" customWidth="1"/>
    <col min="6402" max="6402" width="9.88671875" bestFit="1" customWidth="1"/>
    <col min="6403" max="6405" width="15" customWidth="1"/>
    <col min="6406" max="6407" width="12.33203125" customWidth="1"/>
    <col min="6408" max="6408" width="10.6640625" bestFit="1" customWidth="1"/>
    <col min="6657" max="6657" width="14.6640625" bestFit="1" customWidth="1"/>
    <col min="6658" max="6658" width="9.88671875" bestFit="1" customWidth="1"/>
    <col min="6659" max="6661" width="15" customWidth="1"/>
    <col min="6662" max="6663" width="12.33203125" customWidth="1"/>
    <col min="6664" max="6664" width="10.6640625" bestFit="1" customWidth="1"/>
    <col min="6913" max="6913" width="14.6640625" bestFit="1" customWidth="1"/>
    <col min="6914" max="6914" width="9.88671875" bestFit="1" customWidth="1"/>
    <col min="6915" max="6917" width="15" customWidth="1"/>
    <col min="6918" max="6919" width="12.33203125" customWidth="1"/>
    <col min="6920" max="6920" width="10.6640625" bestFit="1" customWidth="1"/>
    <col min="7169" max="7169" width="14.6640625" bestFit="1" customWidth="1"/>
    <col min="7170" max="7170" width="9.88671875" bestFit="1" customWidth="1"/>
    <col min="7171" max="7173" width="15" customWidth="1"/>
    <col min="7174" max="7175" width="12.33203125" customWidth="1"/>
    <col min="7176" max="7176" width="10.6640625" bestFit="1" customWidth="1"/>
    <col min="7425" max="7425" width="14.6640625" bestFit="1" customWidth="1"/>
    <col min="7426" max="7426" width="9.88671875" bestFit="1" customWidth="1"/>
    <col min="7427" max="7429" width="15" customWidth="1"/>
    <col min="7430" max="7431" width="12.33203125" customWidth="1"/>
    <col min="7432" max="7432" width="10.6640625" bestFit="1" customWidth="1"/>
    <col min="7681" max="7681" width="14.6640625" bestFit="1" customWidth="1"/>
    <col min="7682" max="7682" width="9.88671875" bestFit="1" customWidth="1"/>
    <col min="7683" max="7685" width="15" customWidth="1"/>
    <col min="7686" max="7687" width="12.33203125" customWidth="1"/>
    <col min="7688" max="7688" width="10.6640625" bestFit="1" customWidth="1"/>
    <col min="7937" max="7937" width="14.6640625" bestFit="1" customWidth="1"/>
    <col min="7938" max="7938" width="9.88671875" bestFit="1" customWidth="1"/>
    <col min="7939" max="7941" width="15" customWidth="1"/>
    <col min="7942" max="7943" width="12.33203125" customWidth="1"/>
    <col min="7944" max="7944" width="10.6640625" bestFit="1" customWidth="1"/>
    <col min="8193" max="8193" width="14.6640625" bestFit="1" customWidth="1"/>
    <col min="8194" max="8194" width="9.88671875" bestFit="1" customWidth="1"/>
    <col min="8195" max="8197" width="15" customWidth="1"/>
    <col min="8198" max="8199" width="12.33203125" customWidth="1"/>
    <col min="8200" max="8200" width="10.6640625" bestFit="1" customWidth="1"/>
    <col min="8449" max="8449" width="14.6640625" bestFit="1" customWidth="1"/>
    <col min="8450" max="8450" width="9.88671875" bestFit="1" customWidth="1"/>
    <col min="8451" max="8453" width="15" customWidth="1"/>
    <col min="8454" max="8455" width="12.33203125" customWidth="1"/>
    <col min="8456" max="8456" width="10.6640625" bestFit="1" customWidth="1"/>
    <col min="8705" max="8705" width="14.6640625" bestFit="1" customWidth="1"/>
    <col min="8706" max="8706" width="9.88671875" bestFit="1" customWidth="1"/>
    <col min="8707" max="8709" width="15" customWidth="1"/>
    <col min="8710" max="8711" width="12.33203125" customWidth="1"/>
    <col min="8712" max="8712" width="10.6640625" bestFit="1" customWidth="1"/>
    <col min="8961" max="8961" width="14.6640625" bestFit="1" customWidth="1"/>
    <col min="8962" max="8962" width="9.88671875" bestFit="1" customWidth="1"/>
    <col min="8963" max="8965" width="15" customWidth="1"/>
    <col min="8966" max="8967" width="12.33203125" customWidth="1"/>
    <col min="8968" max="8968" width="10.6640625" bestFit="1" customWidth="1"/>
    <col min="9217" max="9217" width="14.6640625" bestFit="1" customWidth="1"/>
    <col min="9218" max="9218" width="9.88671875" bestFit="1" customWidth="1"/>
    <col min="9219" max="9221" width="15" customWidth="1"/>
    <col min="9222" max="9223" width="12.33203125" customWidth="1"/>
    <col min="9224" max="9224" width="10.6640625" bestFit="1" customWidth="1"/>
    <col min="9473" max="9473" width="14.6640625" bestFit="1" customWidth="1"/>
    <col min="9474" max="9474" width="9.88671875" bestFit="1" customWidth="1"/>
    <col min="9475" max="9477" width="15" customWidth="1"/>
    <col min="9478" max="9479" width="12.33203125" customWidth="1"/>
    <col min="9480" max="9480" width="10.6640625" bestFit="1" customWidth="1"/>
    <col min="9729" max="9729" width="14.6640625" bestFit="1" customWidth="1"/>
    <col min="9730" max="9730" width="9.88671875" bestFit="1" customWidth="1"/>
    <col min="9731" max="9733" width="15" customWidth="1"/>
    <col min="9734" max="9735" width="12.33203125" customWidth="1"/>
    <col min="9736" max="9736" width="10.6640625" bestFit="1" customWidth="1"/>
    <col min="9985" max="9985" width="14.6640625" bestFit="1" customWidth="1"/>
    <col min="9986" max="9986" width="9.88671875" bestFit="1" customWidth="1"/>
    <col min="9987" max="9989" width="15" customWidth="1"/>
    <col min="9990" max="9991" width="12.33203125" customWidth="1"/>
    <col min="9992" max="9992" width="10.6640625" bestFit="1" customWidth="1"/>
    <col min="10241" max="10241" width="14.6640625" bestFit="1" customWidth="1"/>
    <col min="10242" max="10242" width="9.88671875" bestFit="1" customWidth="1"/>
    <col min="10243" max="10245" width="15" customWidth="1"/>
    <col min="10246" max="10247" width="12.33203125" customWidth="1"/>
    <col min="10248" max="10248" width="10.6640625" bestFit="1" customWidth="1"/>
    <col min="10497" max="10497" width="14.6640625" bestFit="1" customWidth="1"/>
    <col min="10498" max="10498" width="9.88671875" bestFit="1" customWidth="1"/>
    <col min="10499" max="10501" width="15" customWidth="1"/>
    <col min="10502" max="10503" width="12.33203125" customWidth="1"/>
    <col min="10504" max="10504" width="10.6640625" bestFit="1" customWidth="1"/>
    <col min="10753" max="10753" width="14.6640625" bestFit="1" customWidth="1"/>
    <col min="10754" max="10754" width="9.88671875" bestFit="1" customWidth="1"/>
    <col min="10755" max="10757" width="15" customWidth="1"/>
    <col min="10758" max="10759" width="12.33203125" customWidth="1"/>
    <col min="10760" max="10760" width="10.6640625" bestFit="1" customWidth="1"/>
    <col min="11009" max="11009" width="14.6640625" bestFit="1" customWidth="1"/>
    <col min="11010" max="11010" width="9.88671875" bestFit="1" customWidth="1"/>
    <col min="11011" max="11013" width="15" customWidth="1"/>
    <col min="11014" max="11015" width="12.33203125" customWidth="1"/>
    <col min="11016" max="11016" width="10.6640625" bestFit="1" customWidth="1"/>
    <col min="11265" max="11265" width="14.6640625" bestFit="1" customWidth="1"/>
    <col min="11266" max="11266" width="9.88671875" bestFit="1" customWidth="1"/>
    <col min="11267" max="11269" width="15" customWidth="1"/>
    <col min="11270" max="11271" width="12.33203125" customWidth="1"/>
    <col min="11272" max="11272" width="10.6640625" bestFit="1" customWidth="1"/>
    <col min="11521" max="11521" width="14.6640625" bestFit="1" customWidth="1"/>
    <col min="11522" max="11522" width="9.88671875" bestFit="1" customWidth="1"/>
    <col min="11523" max="11525" width="15" customWidth="1"/>
    <col min="11526" max="11527" width="12.33203125" customWidth="1"/>
    <col min="11528" max="11528" width="10.6640625" bestFit="1" customWidth="1"/>
    <col min="11777" max="11777" width="14.6640625" bestFit="1" customWidth="1"/>
    <col min="11778" max="11778" width="9.88671875" bestFit="1" customWidth="1"/>
    <col min="11779" max="11781" width="15" customWidth="1"/>
    <col min="11782" max="11783" width="12.33203125" customWidth="1"/>
    <col min="11784" max="11784" width="10.6640625" bestFit="1" customWidth="1"/>
    <col min="12033" max="12033" width="14.6640625" bestFit="1" customWidth="1"/>
    <col min="12034" max="12034" width="9.88671875" bestFit="1" customWidth="1"/>
    <col min="12035" max="12037" width="15" customWidth="1"/>
    <col min="12038" max="12039" width="12.33203125" customWidth="1"/>
    <col min="12040" max="12040" width="10.6640625" bestFit="1" customWidth="1"/>
    <col min="12289" max="12289" width="14.6640625" bestFit="1" customWidth="1"/>
    <col min="12290" max="12290" width="9.88671875" bestFit="1" customWidth="1"/>
    <col min="12291" max="12293" width="15" customWidth="1"/>
    <col min="12294" max="12295" width="12.33203125" customWidth="1"/>
    <col min="12296" max="12296" width="10.6640625" bestFit="1" customWidth="1"/>
    <col min="12545" max="12545" width="14.6640625" bestFit="1" customWidth="1"/>
    <col min="12546" max="12546" width="9.88671875" bestFit="1" customWidth="1"/>
    <col min="12547" max="12549" width="15" customWidth="1"/>
    <col min="12550" max="12551" width="12.33203125" customWidth="1"/>
    <col min="12552" max="12552" width="10.6640625" bestFit="1" customWidth="1"/>
    <col min="12801" max="12801" width="14.6640625" bestFit="1" customWidth="1"/>
    <col min="12802" max="12802" width="9.88671875" bestFit="1" customWidth="1"/>
    <col min="12803" max="12805" width="15" customWidth="1"/>
    <col min="12806" max="12807" width="12.33203125" customWidth="1"/>
    <col min="12808" max="12808" width="10.6640625" bestFit="1" customWidth="1"/>
    <col min="13057" max="13057" width="14.6640625" bestFit="1" customWidth="1"/>
    <col min="13058" max="13058" width="9.88671875" bestFit="1" customWidth="1"/>
    <col min="13059" max="13061" width="15" customWidth="1"/>
    <col min="13062" max="13063" width="12.33203125" customWidth="1"/>
    <col min="13064" max="13064" width="10.6640625" bestFit="1" customWidth="1"/>
    <col min="13313" max="13313" width="14.6640625" bestFit="1" customWidth="1"/>
    <col min="13314" max="13314" width="9.88671875" bestFit="1" customWidth="1"/>
    <col min="13315" max="13317" width="15" customWidth="1"/>
    <col min="13318" max="13319" width="12.33203125" customWidth="1"/>
    <col min="13320" max="13320" width="10.6640625" bestFit="1" customWidth="1"/>
    <col min="13569" max="13569" width="14.6640625" bestFit="1" customWidth="1"/>
    <col min="13570" max="13570" width="9.88671875" bestFit="1" customWidth="1"/>
    <col min="13571" max="13573" width="15" customWidth="1"/>
    <col min="13574" max="13575" width="12.33203125" customWidth="1"/>
    <col min="13576" max="13576" width="10.6640625" bestFit="1" customWidth="1"/>
    <col min="13825" max="13825" width="14.6640625" bestFit="1" customWidth="1"/>
    <col min="13826" max="13826" width="9.88671875" bestFit="1" customWidth="1"/>
    <col min="13827" max="13829" width="15" customWidth="1"/>
    <col min="13830" max="13831" width="12.33203125" customWidth="1"/>
    <col min="13832" max="13832" width="10.6640625" bestFit="1" customWidth="1"/>
    <col min="14081" max="14081" width="14.6640625" bestFit="1" customWidth="1"/>
    <col min="14082" max="14082" width="9.88671875" bestFit="1" customWidth="1"/>
    <col min="14083" max="14085" width="15" customWidth="1"/>
    <col min="14086" max="14087" width="12.33203125" customWidth="1"/>
    <col min="14088" max="14088" width="10.6640625" bestFit="1" customWidth="1"/>
    <col min="14337" max="14337" width="14.6640625" bestFit="1" customWidth="1"/>
    <col min="14338" max="14338" width="9.88671875" bestFit="1" customWidth="1"/>
    <col min="14339" max="14341" width="15" customWidth="1"/>
    <col min="14342" max="14343" width="12.33203125" customWidth="1"/>
    <col min="14344" max="14344" width="10.6640625" bestFit="1" customWidth="1"/>
    <col min="14593" max="14593" width="14.6640625" bestFit="1" customWidth="1"/>
    <col min="14594" max="14594" width="9.88671875" bestFit="1" customWidth="1"/>
    <col min="14595" max="14597" width="15" customWidth="1"/>
    <col min="14598" max="14599" width="12.33203125" customWidth="1"/>
    <col min="14600" max="14600" width="10.6640625" bestFit="1" customWidth="1"/>
    <col min="14849" max="14849" width="14.6640625" bestFit="1" customWidth="1"/>
    <col min="14850" max="14850" width="9.88671875" bestFit="1" customWidth="1"/>
    <col min="14851" max="14853" width="15" customWidth="1"/>
    <col min="14854" max="14855" width="12.33203125" customWidth="1"/>
    <col min="14856" max="14856" width="10.6640625" bestFit="1" customWidth="1"/>
    <col min="15105" max="15105" width="14.6640625" bestFit="1" customWidth="1"/>
    <col min="15106" max="15106" width="9.88671875" bestFit="1" customWidth="1"/>
    <col min="15107" max="15109" width="15" customWidth="1"/>
    <col min="15110" max="15111" width="12.33203125" customWidth="1"/>
    <col min="15112" max="15112" width="10.6640625" bestFit="1" customWidth="1"/>
    <col min="15361" max="15361" width="14.6640625" bestFit="1" customWidth="1"/>
    <col min="15362" max="15362" width="9.88671875" bestFit="1" customWidth="1"/>
    <col min="15363" max="15365" width="15" customWidth="1"/>
    <col min="15366" max="15367" width="12.33203125" customWidth="1"/>
    <col min="15368" max="15368" width="10.6640625" bestFit="1" customWidth="1"/>
    <col min="15617" max="15617" width="14.6640625" bestFit="1" customWidth="1"/>
    <col min="15618" max="15618" width="9.88671875" bestFit="1" customWidth="1"/>
    <col min="15619" max="15621" width="15" customWidth="1"/>
    <col min="15622" max="15623" width="12.33203125" customWidth="1"/>
    <col min="15624" max="15624" width="10.6640625" bestFit="1" customWidth="1"/>
    <col min="15873" max="15873" width="14.6640625" bestFit="1" customWidth="1"/>
    <col min="15874" max="15874" width="9.88671875" bestFit="1" customWidth="1"/>
    <col min="15875" max="15877" width="15" customWidth="1"/>
    <col min="15878" max="15879" width="12.33203125" customWidth="1"/>
    <col min="15880" max="15880" width="10.6640625" bestFit="1" customWidth="1"/>
    <col min="16129" max="16129" width="14.6640625" bestFit="1" customWidth="1"/>
    <col min="16130" max="16130" width="9.88671875" bestFit="1" customWidth="1"/>
    <col min="16131" max="16133" width="15" customWidth="1"/>
    <col min="16134" max="16135" width="12.33203125" customWidth="1"/>
    <col min="16136" max="16136" width="10.6640625" bestFit="1" customWidth="1"/>
  </cols>
  <sheetData>
    <row r="1" spans="1:8" x14ac:dyDescent="0.3">
      <c r="A1" s="25">
        <v>5.2</v>
      </c>
      <c r="B1" s="25"/>
      <c r="C1" s="25"/>
      <c r="D1" s="25"/>
      <c r="E1" s="25"/>
      <c r="F1" s="25"/>
      <c r="G1" s="26"/>
    </row>
    <row r="2" spans="1:8" ht="43.2" x14ac:dyDescent="0.3">
      <c r="A2" s="27" t="s">
        <v>38</v>
      </c>
      <c r="B2" s="28">
        <v>0.09</v>
      </c>
      <c r="C2" s="5"/>
      <c r="D2" s="5"/>
      <c r="E2" s="5"/>
    </row>
    <row r="3" spans="1:8" x14ac:dyDescent="0.3">
      <c r="A3" s="1"/>
      <c r="B3" s="1"/>
      <c r="C3" s="1"/>
      <c r="D3" s="1"/>
      <c r="E3" s="1"/>
      <c r="F3" s="1" t="s">
        <v>40</v>
      </c>
    </row>
    <row r="4" spans="1:8" s="10" customFormat="1" x14ac:dyDescent="0.3">
      <c r="A4" s="8" t="s">
        <v>25</v>
      </c>
      <c r="B4" s="8" t="s">
        <v>26</v>
      </c>
      <c r="C4" s="8" t="s">
        <v>43</v>
      </c>
      <c r="D4" s="27" t="s">
        <v>1</v>
      </c>
      <c r="E4" s="8" t="s">
        <v>43</v>
      </c>
      <c r="F4" s="27" t="s">
        <v>0</v>
      </c>
      <c r="G4"/>
      <c r="H4"/>
    </row>
    <row r="5" spans="1:8" x14ac:dyDescent="0.3">
      <c r="A5" s="1">
        <v>0</v>
      </c>
      <c r="B5" s="1">
        <v>-1000</v>
      </c>
      <c r="C5" s="29">
        <v>8</v>
      </c>
      <c r="D5" s="30"/>
      <c r="E5" s="29">
        <v>0</v>
      </c>
      <c r="F5" s="30"/>
    </row>
    <row r="6" spans="1:8" x14ac:dyDescent="0.3">
      <c r="A6" s="1">
        <v>1</v>
      </c>
      <c r="B6" s="1"/>
      <c r="C6" s="1">
        <v>7</v>
      </c>
      <c r="D6" s="30"/>
      <c r="E6" s="1">
        <v>1</v>
      </c>
      <c r="F6" s="30"/>
    </row>
    <row r="7" spans="1:8" x14ac:dyDescent="0.3">
      <c r="A7" s="1">
        <v>2</v>
      </c>
      <c r="B7" s="1">
        <v>-2000</v>
      </c>
      <c r="C7" s="29">
        <v>6</v>
      </c>
      <c r="D7" s="30"/>
      <c r="E7" s="29">
        <v>2</v>
      </c>
      <c r="F7" s="30"/>
    </row>
    <row r="8" spans="1:8" x14ac:dyDescent="0.3">
      <c r="A8" s="1">
        <v>3</v>
      </c>
      <c r="B8" s="1">
        <v>3000</v>
      </c>
      <c r="C8" s="1">
        <v>5</v>
      </c>
      <c r="D8" s="30"/>
      <c r="E8" s="1">
        <v>3</v>
      </c>
      <c r="F8" s="30"/>
    </row>
    <row r="9" spans="1:8" x14ac:dyDescent="0.3">
      <c r="A9" s="1">
        <v>4</v>
      </c>
      <c r="B9" s="1"/>
      <c r="C9" s="29">
        <v>4</v>
      </c>
      <c r="D9" s="30"/>
      <c r="E9" s="29">
        <v>4</v>
      </c>
      <c r="F9" s="30"/>
    </row>
    <row r="10" spans="1:8" x14ac:dyDescent="0.3">
      <c r="A10" s="1">
        <v>5</v>
      </c>
      <c r="B10" s="1">
        <v>-8000</v>
      </c>
      <c r="C10" s="1">
        <v>3</v>
      </c>
      <c r="D10" s="30"/>
      <c r="E10" s="1">
        <v>5</v>
      </c>
      <c r="F10" s="30"/>
    </row>
    <row r="11" spans="1:8" x14ac:dyDescent="0.3">
      <c r="A11" s="1">
        <v>6</v>
      </c>
      <c r="B11" s="1"/>
      <c r="C11" s="29">
        <v>2</v>
      </c>
      <c r="D11" s="30"/>
      <c r="E11" s="29">
        <v>6</v>
      </c>
      <c r="F11" s="30"/>
    </row>
    <row r="12" spans="1:8" x14ac:dyDescent="0.3">
      <c r="A12" s="1">
        <v>7</v>
      </c>
      <c r="B12" s="1">
        <v>5000</v>
      </c>
      <c r="C12" s="1">
        <v>1</v>
      </c>
      <c r="D12" s="30"/>
      <c r="E12" s="1">
        <v>7</v>
      </c>
      <c r="F12" s="30"/>
    </row>
    <row r="13" spans="1:8" ht="15" thickBot="1" x14ac:dyDescent="0.35">
      <c r="A13" s="28">
        <v>8</v>
      </c>
      <c r="B13" s="28"/>
      <c r="C13" s="31">
        <v>0</v>
      </c>
      <c r="D13" s="30"/>
      <c r="E13" s="31">
        <v>8</v>
      </c>
      <c r="F13" s="30"/>
    </row>
    <row r="14" spans="1:8" ht="15" thickBot="1" x14ac:dyDescent="0.35">
      <c r="A14" s="32" t="s">
        <v>46</v>
      </c>
      <c r="B14" s="32"/>
      <c r="C14" s="32"/>
      <c r="D14" s="33">
        <f>SUM(D5:D13)</f>
        <v>0</v>
      </c>
      <c r="E14" s="32"/>
      <c r="F14" s="33">
        <f>SUM(F5:F13)</f>
        <v>0</v>
      </c>
    </row>
    <row r="15" spans="1:8" ht="15" thickTop="1" x14ac:dyDescent="0.3"/>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6"/>
  <sheetViews>
    <sheetView zoomScale="85" zoomScaleNormal="85" workbookViewId="0">
      <selection activeCell="F14" sqref="F14"/>
    </sheetView>
  </sheetViews>
  <sheetFormatPr defaultRowHeight="14.4" x14ac:dyDescent="0.3"/>
  <cols>
    <col min="1" max="1" width="14.6640625" bestFit="1" customWidth="1"/>
    <col min="2" max="2" width="9.88671875" bestFit="1" customWidth="1"/>
    <col min="3" max="5" width="15" customWidth="1"/>
    <col min="6" max="7" width="12.33203125" customWidth="1"/>
    <col min="8" max="8" width="10.6640625" bestFit="1" customWidth="1"/>
    <col min="257" max="257" width="14.6640625" bestFit="1" customWidth="1"/>
    <col min="258" max="258" width="9.88671875" bestFit="1" customWidth="1"/>
    <col min="259" max="261" width="15" customWidth="1"/>
    <col min="262" max="263" width="12.33203125" customWidth="1"/>
    <col min="264" max="264" width="10.6640625" bestFit="1" customWidth="1"/>
    <col min="513" max="513" width="14.6640625" bestFit="1" customWidth="1"/>
    <col min="514" max="514" width="9.88671875" bestFit="1" customWidth="1"/>
    <col min="515" max="517" width="15" customWidth="1"/>
    <col min="518" max="519" width="12.33203125" customWidth="1"/>
    <col min="520" max="520" width="10.6640625" bestFit="1" customWidth="1"/>
    <col min="769" max="769" width="14.6640625" bestFit="1" customWidth="1"/>
    <col min="770" max="770" width="9.88671875" bestFit="1" customWidth="1"/>
    <col min="771" max="773" width="15" customWidth="1"/>
    <col min="774" max="775" width="12.33203125" customWidth="1"/>
    <col min="776" max="776" width="10.6640625" bestFit="1" customWidth="1"/>
    <col min="1025" max="1025" width="14.6640625" bestFit="1" customWidth="1"/>
    <col min="1026" max="1026" width="9.88671875" bestFit="1" customWidth="1"/>
    <col min="1027" max="1029" width="15" customWidth="1"/>
    <col min="1030" max="1031" width="12.33203125" customWidth="1"/>
    <col min="1032" max="1032" width="10.6640625" bestFit="1" customWidth="1"/>
    <col min="1281" max="1281" width="14.6640625" bestFit="1" customWidth="1"/>
    <col min="1282" max="1282" width="9.88671875" bestFit="1" customWidth="1"/>
    <col min="1283" max="1285" width="15" customWidth="1"/>
    <col min="1286" max="1287" width="12.33203125" customWidth="1"/>
    <col min="1288" max="1288" width="10.6640625" bestFit="1" customWidth="1"/>
    <col min="1537" max="1537" width="14.6640625" bestFit="1" customWidth="1"/>
    <col min="1538" max="1538" width="9.88671875" bestFit="1" customWidth="1"/>
    <col min="1539" max="1541" width="15" customWidth="1"/>
    <col min="1542" max="1543" width="12.33203125" customWidth="1"/>
    <col min="1544" max="1544" width="10.6640625" bestFit="1" customWidth="1"/>
    <col min="1793" max="1793" width="14.6640625" bestFit="1" customWidth="1"/>
    <col min="1794" max="1794" width="9.88671875" bestFit="1" customWidth="1"/>
    <col min="1795" max="1797" width="15" customWidth="1"/>
    <col min="1798" max="1799" width="12.33203125" customWidth="1"/>
    <col min="1800" max="1800" width="10.6640625" bestFit="1" customWidth="1"/>
    <col min="2049" max="2049" width="14.6640625" bestFit="1" customWidth="1"/>
    <col min="2050" max="2050" width="9.88671875" bestFit="1" customWidth="1"/>
    <col min="2051" max="2053" width="15" customWidth="1"/>
    <col min="2054" max="2055" width="12.33203125" customWidth="1"/>
    <col min="2056" max="2056" width="10.6640625" bestFit="1" customWidth="1"/>
    <col min="2305" max="2305" width="14.6640625" bestFit="1" customWidth="1"/>
    <col min="2306" max="2306" width="9.88671875" bestFit="1" customWidth="1"/>
    <col min="2307" max="2309" width="15" customWidth="1"/>
    <col min="2310" max="2311" width="12.33203125" customWidth="1"/>
    <col min="2312" max="2312" width="10.6640625" bestFit="1" customWidth="1"/>
    <col min="2561" max="2561" width="14.6640625" bestFit="1" customWidth="1"/>
    <col min="2562" max="2562" width="9.88671875" bestFit="1" customWidth="1"/>
    <col min="2563" max="2565" width="15" customWidth="1"/>
    <col min="2566" max="2567" width="12.33203125" customWidth="1"/>
    <col min="2568" max="2568" width="10.6640625" bestFit="1" customWidth="1"/>
    <col min="2817" max="2817" width="14.6640625" bestFit="1" customWidth="1"/>
    <col min="2818" max="2818" width="9.88671875" bestFit="1" customWidth="1"/>
    <col min="2819" max="2821" width="15" customWidth="1"/>
    <col min="2822" max="2823" width="12.33203125" customWidth="1"/>
    <col min="2824" max="2824" width="10.6640625" bestFit="1" customWidth="1"/>
    <col min="3073" max="3073" width="14.6640625" bestFit="1" customWidth="1"/>
    <col min="3074" max="3074" width="9.88671875" bestFit="1" customWidth="1"/>
    <col min="3075" max="3077" width="15" customWidth="1"/>
    <col min="3078" max="3079" width="12.33203125" customWidth="1"/>
    <col min="3080" max="3080" width="10.6640625" bestFit="1" customWidth="1"/>
    <col min="3329" max="3329" width="14.6640625" bestFit="1" customWidth="1"/>
    <col min="3330" max="3330" width="9.88671875" bestFit="1" customWidth="1"/>
    <col min="3331" max="3333" width="15" customWidth="1"/>
    <col min="3334" max="3335" width="12.33203125" customWidth="1"/>
    <col min="3336" max="3336" width="10.6640625" bestFit="1" customWidth="1"/>
    <col min="3585" max="3585" width="14.6640625" bestFit="1" customWidth="1"/>
    <col min="3586" max="3586" width="9.88671875" bestFit="1" customWidth="1"/>
    <col min="3587" max="3589" width="15" customWidth="1"/>
    <col min="3590" max="3591" width="12.33203125" customWidth="1"/>
    <col min="3592" max="3592" width="10.6640625" bestFit="1" customWidth="1"/>
    <col min="3841" max="3841" width="14.6640625" bestFit="1" customWidth="1"/>
    <col min="3842" max="3842" width="9.88671875" bestFit="1" customWidth="1"/>
    <col min="3843" max="3845" width="15" customWidth="1"/>
    <col min="3846" max="3847" width="12.33203125" customWidth="1"/>
    <col min="3848" max="3848" width="10.6640625" bestFit="1" customWidth="1"/>
    <col min="4097" max="4097" width="14.6640625" bestFit="1" customWidth="1"/>
    <col min="4098" max="4098" width="9.88671875" bestFit="1" customWidth="1"/>
    <col min="4099" max="4101" width="15" customWidth="1"/>
    <col min="4102" max="4103" width="12.33203125" customWidth="1"/>
    <col min="4104" max="4104" width="10.6640625" bestFit="1" customWidth="1"/>
    <col min="4353" max="4353" width="14.6640625" bestFit="1" customWidth="1"/>
    <col min="4354" max="4354" width="9.88671875" bestFit="1" customWidth="1"/>
    <col min="4355" max="4357" width="15" customWidth="1"/>
    <col min="4358" max="4359" width="12.33203125" customWidth="1"/>
    <col min="4360" max="4360" width="10.6640625" bestFit="1" customWidth="1"/>
    <col min="4609" max="4609" width="14.6640625" bestFit="1" customWidth="1"/>
    <col min="4610" max="4610" width="9.88671875" bestFit="1" customWidth="1"/>
    <col min="4611" max="4613" width="15" customWidth="1"/>
    <col min="4614" max="4615" width="12.33203125" customWidth="1"/>
    <col min="4616" max="4616" width="10.6640625" bestFit="1" customWidth="1"/>
    <col min="4865" max="4865" width="14.6640625" bestFit="1" customWidth="1"/>
    <col min="4866" max="4866" width="9.88671875" bestFit="1" customWidth="1"/>
    <col min="4867" max="4869" width="15" customWidth="1"/>
    <col min="4870" max="4871" width="12.33203125" customWidth="1"/>
    <col min="4872" max="4872" width="10.6640625" bestFit="1" customWidth="1"/>
    <col min="5121" max="5121" width="14.6640625" bestFit="1" customWidth="1"/>
    <col min="5122" max="5122" width="9.88671875" bestFit="1" customWidth="1"/>
    <col min="5123" max="5125" width="15" customWidth="1"/>
    <col min="5126" max="5127" width="12.33203125" customWidth="1"/>
    <col min="5128" max="5128" width="10.6640625" bestFit="1" customWidth="1"/>
    <col min="5377" max="5377" width="14.6640625" bestFit="1" customWidth="1"/>
    <col min="5378" max="5378" width="9.88671875" bestFit="1" customWidth="1"/>
    <col min="5379" max="5381" width="15" customWidth="1"/>
    <col min="5382" max="5383" width="12.33203125" customWidth="1"/>
    <col min="5384" max="5384" width="10.6640625" bestFit="1" customWidth="1"/>
    <col min="5633" max="5633" width="14.6640625" bestFit="1" customWidth="1"/>
    <col min="5634" max="5634" width="9.88671875" bestFit="1" customWidth="1"/>
    <col min="5635" max="5637" width="15" customWidth="1"/>
    <col min="5638" max="5639" width="12.33203125" customWidth="1"/>
    <col min="5640" max="5640" width="10.6640625" bestFit="1" customWidth="1"/>
    <col min="5889" max="5889" width="14.6640625" bestFit="1" customWidth="1"/>
    <col min="5890" max="5890" width="9.88671875" bestFit="1" customWidth="1"/>
    <col min="5891" max="5893" width="15" customWidth="1"/>
    <col min="5894" max="5895" width="12.33203125" customWidth="1"/>
    <col min="5896" max="5896" width="10.6640625" bestFit="1" customWidth="1"/>
    <col min="6145" max="6145" width="14.6640625" bestFit="1" customWidth="1"/>
    <col min="6146" max="6146" width="9.88671875" bestFit="1" customWidth="1"/>
    <col min="6147" max="6149" width="15" customWidth="1"/>
    <col min="6150" max="6151" width="12.33203125" customWidth="1"/>
    <col min="6152" max="6152" width="10.6640625" bestFit="1" customWidth="1"/>
    <col min="6401" max="6401" width="14.6640625" bestFit="1" customWidth="1"/>
    <col min="6402" max="6402" width="9.88671875" bestFit="1" customWidth="1"/>
    <col min="6403" max="6405" width="15" customWidth="1"/>
    <col min="6406" max="6407" width="12.33203125" customWidth="1"/>
    <col min="6408" max="6408" width="10.6640625" bestFit="1" customWidth="1"/>
    <col min="6657" max="6657" width="14.6640625" bestFit="1" customWidth="1"/>
    <col min="6658" max="6658" width="9.88671875" bestFit="1" customWidth="1"/>
    <col min="6659" max="6661" width="15" customWidth="1"/>
    <col min="6662" max="6663" width="12.33203125" customWidth="1"/>
    <col min="6664" max="6664" width="10.6640625" bestFit="1" customWidth="1"/>
    <col min="6913" max="6913" width="14.6640625" bestFit="1" customWidth="1"/>
    <col min="6914" max="6914" width="9.88671875" bestFit="1" customWidth="1"/>
    <col min="6915" max="6917" width="15" customWidth="1"/>
    <col min="6918" max="6919" width="12.33203125" customWidth="1"/>
    <col min="6920" max="6920" width="10.6640625" bestFit="1" customWidth="1"/>
    <col min="7169" max="7169" width="14.6640625" bestFit="1" customWidth="1"/>
    <col min="7170" max="7170" width="9.88671875" bestFit="1" customWidth="1"/>
    <col min="7171" max="7173" width="15" customWidth="1"/>
    <col min="7174" max="7175" width="12.33203125" customWidth="1"/>
    <col min="7176" max="7176" width="10.6640625" bestFit="1" customWidth="1"/>
    <col min="7425" max="7425" width="14.6640625" bestFit="1" customWidth="1"/>
    <col min="7426" max="7426" width="9.88671875" bestFit="1" customWidth="1"/>
    <col min="7427" max="7429" width="15" customWidth="1"/>
    <col min="7430" max="7431" width="12.33203125" customWidth="1"/>
    <col min="7432" max="7432" width="10.6640625" bestFit="1" customWidth="1"/>
    <col min="7681" max="7681" width="14.6640625" bestFit="1" customWidth="1"/>
    <col min="7682" max="7682" width="9.88671875" bestFit="1" customWidth="1"/>
    <col min="7683" max="7685" width="15" customWidth="1"/>
    <col min="7686" max="7687" width="12.33203125" customWidth="1"/>
    <col min="7688" max="7688" width="10.6640625" bestFit="1" customWidth="1"/>
    <col min="7937" max="7937" width="14.6640625" bestFit="1" customWidth="1"/>
    <col min="7938" max="7938" width="9.88671875" bestFit="1" customWidth="1"/>
    <col min="7939" max="7941" width="15" customWidth="1"/>
    <col min="7942" max="7943" width="12.33203125" customWidth="1"/>
    <col min="7944" max="7944" width="10.6640625" bestFit="1" customWidth="1"/>
    <col min="8193" max="8193" width="14.6640625" bestFit="1" customWidth="1"/>
    <col min="8194" max="8194" width="9.88671875" bestFit="1" customWidth="1"/>
    <col min="8195" max="8197" width="15" customWidth="1"/>
    <col min="8198" max="8199" width="12.33203125" customWidth="1"/>
    <col min="8200" max="8200" width="10.6640625" bestFit="1" customWidth="1"/>
    <col min="8449" max="8449" width="14.6640625" bestFit="1" customWidth="1"/>
    <col min="8450" max="8450" width="9.88671875" bestFit="1" customWidth="1"/>
    <col min="8451" max="8453" width="15" customWidth="1"/>
    <col min="8454" max="8455" width="12.33203125" customWidth="1"/>
    <col min="8456" max="8456" width="10.6640625" bestFit="1" customWidth="1"/>
    <col min="8705" max="8705" width="14.6640625" bestFit="1" customWidth="1"/>
    <col min="8706" max="8706" width="9.88671875" bestFit="1" customWidth="1"/>
    <col min="8707" max="8709" width="15" customWidth="1"/>
    <col min="8710" max="8711" width="12.33203125" customWidth="1"/>
    <col min="8712" max="8712" width="10.6640625" bestFit="1" customWidth="1"/>
    <col min="8961" max="8961" width="14.6640625" bestFit="1" customWidth="1"/>
    <col min="8962" max="8962" width="9.88671875" bestFit="1" customWidth="1"/>
    <col min="8963" max="8965" width="15" customWidth="1"/>
    <col min="8966" max="8967" width="12.33203125" customWidth="1"/>
    <col min="8968" max="8968" width="10.6640625" bestFit="1" customWidth="1"/>
    <col min="9217" max="9217" width="14.6640625" bestFit="1" customWidth="1"/>
    <col min="9218" max="9218" width="9.88671875" bestFit="1" customWidth="1"/>
    <col min="9219" max="9221" width="15" customWidth="1"/>
    <col min="9222" max="9223" width="12.33203125" customWidth="1"/>
    <col min="9224" max="9224" width="10.6640625" bestFit="1" customWidth="1"/>
    <col min="9473" max="9473" width="14.6640625" bestFit="1" customWidth="1"/>
    <col min="9474" max="9474" width="9.88671875" bestFit="1" customWidth="1"/>
    <col min="9475" max="9477" width="15" customWidth="1"/>
    <col min="9478" max="9479" width="12.33203125" customWidth="1"/>
    <col min="9480" max="9480" width="10.6640625" bestFit="1" customWidth="1"/>
    <col min="9729" max="9729" width="14.6640625" bestFit="1" customWidth="1"/>
    <col min="9730" max="9730" width="9.88671875" bestFit="1" customWidth="1"/>
    <col min="9731" max="9733" width="15" customWidth="1"/>
    <col min="9734" max="9735" width="12.33203125" customWidth="1"/>
    <col min="9736" max="9736" width="10.6640625" bestFit="1" customWidth="1"/>
    <col min="9985" max="9985" width="14.6640625" bestFit="1" customWidth="1"/>
    <col min="9986" max="9986" width="9.88671875" bestFit="1" customWidth="1"/>
    <col min="9987" max="9989" width="15" customWidth="1"/>
    <col min="9990" max="9991" width="12.33203125" customWidth="1"/>
    <col min="9992" max="9992" width="10.6640625" bestFit="1" customWidth="1"/>
    <col min="10241" max="10241" width="14.6640625" bestFit="1" customWidth="1"/>
    <col min="10242" max="10242" width="9.88671875" bestFit="1" customWidth="1"/>
    <col min="10243" max="10245" width="15" customWidth="1"/>
    <col min="10246" max="10247" width="12.33203125" customWidth="1"/>
    <col min="10248" max="10248" width="10.6640625" bestFit="1" customWidth="1"/>
    <col min="10497" max="10497" width="14.6640625" bestFit="1" customWidth="1"/>
    <col min="10498" max="10498" width="9.88671875" bestFit="1" customWidth="1"/>
    <col min="10499" max="10501" width="15" customWidth="1"/>
    <col min="10502" max="10503" width="12.33203125" customWidth="1"/>
    <col min="10504" max="10504" width="10.6640625" bestFit="1" customWidth="1"/>
    <col min="10753" max="10753" width="14.6640625" bestFit="1" customWidth="1"/>
    <col min="10754" max="10754" width="9.88671875" bestFit="1" customWidth="1"/>
    <col min="10755" max="10757" width="15" customWidth="1"/>
    <col min="10758" max="10759" width="12.33203125" customWidth="1"/>
    <col min="10760" max="10760" width="10.6640625" bestFit="1" customWidth="1"/>
    <col min="11009" max="11009" width="14.6640625" bestFit="1" customWidth="1"/>
    <col min="11010" max="11010" width="9.88671875" bestFit="1" customWidth="1"/>
    <col min="11011" max="11013" width="15" customWidth="1"/>
    <col min="11014" max="11015" width="12.33203125" customWidth="1"/>
    <col min="11016" max="11016" width="10.6640625" bestFit="1" customWidth="1"/>
    <col min="11265" max="11265" width="14.6640625" bestFit="1" customWidth="1"/>
    <col min="11266" max="11266" width="9.88671875" bestFit="1" customWidth="1"/>
    <col min="11267" max="11269" width="15" customWidth="1"/>
    <col min="11270" max="11271" width="12.33203125" customWidth="1"/>
    <col min="11272" max="11272" width="10.6640625" bestFit="1" customWidth="1"/>
    <col min="11521" max="11521" width="14.6640625" bestFit="1" customWidth="1"/>
    <col min="11522" max="11522" width="9.88671875" bestFit="1" customWidth="1"/>
    <col min="11523" max="11525" width="15" customWidth="1"/>
    <col min="11526" max="11527" width="12.33203125" customWidth="1"/>
    <col min="11528" max="11528" width="10.6640625" bestFit="1" customWidth="1"/>
    <col min="11777" max="11777" width="14.6640625" bestFit="1" customWidth="1"/>
    <col min="11778" max="11778" width="9.88671875" bestFit="1" customWidth="1"/>
    <col min="11779" max="11781" width="15" customWidth="1"/>
    <col min="11782" max="11783" width="12.33203125" customWidth="1"/>
    <col min="11784" max="11784" width="10.6640625" bestFit="1" customWidth="1"/>
    <col min="12033" max="12033" width="14.6640625" bestFit="1" customWidth="1"/>
    <col min="12034" max="12034" width="9.88671875" bestFit="1" customWidth="1"/>
    <col min="12035" max="12037" width="15" customWidth="1"/>
    <col min="12038" max="12039" width="12.33203125" customWidth="1"/>
    <col min="12040" max="12040" width="10.6640625" bestFit="1" customWidth="1"/>
    <col min="12289" max="12289" width="14.6640625" bestFit="1" customWidth="1"/>
    <col min="12290" max="12290" width="9.88671875" bestFit="1" customWidth="1"/>
    <col min="12291" max="12293" width="15" customWidth="1"/>
    <col min="12294" max="12295" width="12.33203125" customWidth="1"/>
    <col min="12296" max="12296" width="10.6640625" bestFit="1" customWidth="1"/>
    <col min="12545" max="12545" width="14.6640625" bestFit="1" customWidth="1"/>
    <col min="12546" max="12546" width="9.88671875" bestFit="1" customWidth="1"/>
    <col min="12547" max="12549" width="15" customWidth="1"/>
    <col min="12550" max="12551" width="12.33203125" customWidth="1"/>
    <col min="12552" max="12552" width="10.6640625" bestFit="1" customWidth="1"/>
    <col min="12801" max="12801" width="14.6640625" bestFit="1" customWidth="1"/>
    <col min="12802" max="12802" width="9.88671875" bestFit="1" customWidth="1"/>
    <col min="12803" max="12805" width="15" customWidth="1"/>
    <col min="12806" max="12807" width="12.33203125" customWidth="1"/>
    <col min="12808" max="12808" width="10.6640625" bestFit="1" customWidth="1"/>
    <col min="13057" max="13057" width="14.6640625" bestFit="1" customWidth="1"/>
    <col min="13058" max="13058" width="9.88671875" bestFit="1" customWidth="1"/>
    <col min="13059" max="13061" width="15" customWidth="1"/>
    <col min="13062" max="13063" width="12.33203125" customWidth="1"/>
    <col min="13064" max="13064" width="10.6640625" bestFit="1" customWidth="1"/>
    <col min="13313" max="13313" width="14.6640625" bestFit="1" customWidth="1"/>
    <col min="13314" max="13314" width="9.88671875" bestFit="1" customWidth="1"/>
    <col min="13315" max="13317" width="15" customWidth="1"/>
    <col min="13318" max="13319" width="12.33203125" customWidth="1"/>
    <col min="13320" max="13320" width="10.6640625" bestFit="1" customWidth="1"/>
    <col min="13569" max="13569" width="14.6640625" bestFit="1" customWidth="1"/>
    <col min="13570" max="13570" width="9.88671875" bestFit="1" customWidth="1"/>
    <col min="13571" max="13573" width="15" customWidth="1"/>
    <col min="13574" max="13575" width="12.33203125" customWidth="1"/>
    <col min="13576" max="13576" width="10.6640625" bestFit="1" customWidth="1"/>
    <col min="13825" max="13825" width="14.6640625" bestFit="1" customWidth="1"/>
    <col min="13826" max="13826" width="9.88671875" bestFit="1" customWidth="1"/>
    <col min="13827" max="13829" width="15" customWidth="1"/>
    <col min="13830" max="13831" width="12.33203125" customWidth="1"/>
    <col min="13832" max="13832" width="10.6640625" bestFit="1" customWidth="1"/>
    <col min="14081" max="14081" width="14.6640625" bestFit="1" customWidth="1"/>
    <col min="14082" max="14082" width="9.88671875" bestFit="1" customWidth="1"/>
    <col min="14083" max="14085" width="15" customWidth="1"/>
    <col min="14086" max="14087" width="12.33203125" customWidth="1"/>
    <col min="14088" max="14088" width="10.6640625" bestFit="1" customWidth="1"/>
    <col min="14337" max="14337" width="14.6640625" bestFit="1" customWidth="1"/>
    <col min="14338" max="14338" width="9.88671875" bestFit="1" customWidth="1"/>
    <col min="14339" max="14341" width="15" customWidth="1"/>
    <col min="14342" max="14343" width="12.33203125" customWidth="1"/>
    <col min="14344" max="14344" width="10.6640625" bestFit="1" customWidth="1"/>
    <col min="14593" max="14593" width="14.6640625" bestFit="1" customWidth="1"/>
    <col min="14594" max="14594" width="9.88671875" bestFit="1" customWidth="1"/>
    <col min="14595" max="14597" width="15" customWidth="1"/>
    <col min="14598" max="14599" width="12.33203125" customWidth="1"/>
    <col min="14600" max="14600" width="10.6640625" bestFit="1" customWidth="1"/>
    <col min="14849" max="14849" width="14.6640625" bestFit="1" customWidth="1"/>
    <col min="14850" max="14850" width="9.88671875" bestFit="1" customWidth="1"/>
    <col min="14851" max="14853" width="15" customWidth="1"/>
    <col min="14854" max="14855" width="12.33203125" customWidth="1"/>
    <col min="14856" max="14856" width="10.6640625" bestFit="1" customWidth="1"/>
    <col min="15105" max="15105" width="14.6640625" bestFit="1" customWidth="1"/>
    <col min="15106" max="15106" width="9.88671875" bestFit="1" customWidth="1"/>
    <col min="15107" max="15109" width="15" customWidth="1"/>
    <col min="15110" max="15111" width="12.33203125" customWidth="1"/>
    <col min="15112" max="15112" width="10.6640625" bestFit="1" customWidth="1"/>
    <col min="15361" max="15361" width="14.6640625" bestFit="1" customWidth="1"/>
    <col min="15362" max="15362" width="9.88671875" bestFit="1" customWidth="1"/>
    <col min="15363" max="15365" width="15" customWidth="1"/>
    <col min="15366" max="15367" width="12.33203125" customWidth="1"/>
    <col min="15368" max="15368" width="10.6640625" bestFit="1" customWidth="1"/>
    <col min="15617" max="15617" width="14.6640625" bestFit="1" customWidth="1"/>
    <col min="15618" max="15618" width="9.88671875" bestFit="1" customWidth="1"/>
    <col min="15619" max="15621" width="15" customWidth="1"/>
    <col min="15622" max="15623" width="12.33203125" customWidth="1"/>
    <col min="15624" max="15624" width="10.6640625" bestFit="1" customWidth="1"/>
    <col min="15873" max="15873" width="14.6640625" bestFit="1" customWidth="1"/>
    <col min="15874" max="15874" width="9.88671875" bestFit="1" customWidth="1"/>
    <col min="15875" max="15877" width="15" customWidth="1"/>
    <col min="15878" max="15879" width="12.33203125" customWidth="1"/>
    <col min="15880" max="15880" width="10.6640625" bestFit="1" customWidth="1"/>
    <col min="16129" max="16129" width="14.6640625" bestFit="1" customWidth="1"/>
    <col min="16130" max="16130" width="9.88671875" bestFit="1" customWidth="1"/>
    <col min="16131" max="16133" width="15" customWidth="1"/>
    <col min="16134" max="16135" width="12.33203125" customWidth="1"/>
    <col min="16136" max="16136" width="10.6640625" bestFit="1" customWidth="1"/>
  </cols>
  <sheetData>
    <row r="1" spans="1:11" x14ac:dyDescent="0.3">
      <c r="A1" s="25">
        <v>5.2</v>
      </c>
      <c r="B1" s="25"/>
      <c r="C1" s="25"/>
      <c r="D1" s="25"/>
      <c r="E1" s="25"/>
      <c r="F1" s="25"/>
      <c r="G1" s="26"/>
    </row>
    <row r="2" spans="1:11" ht="43.2" x14ac:dyDescent="0.3">
      <c r="A2" s="27" t="s">
        <v>38</v>
      </c>
      <c r="B2" s="28">
        <v>0.09</v>
      </c>
      <c r="C2" s="5"/>
      <c r="D2" s="5"/>
      <c r="E2" s="5"/>
    </row>
    <row r="3" spans="1:11" x14ac:dyDescent="0.3">
      <c r="A3" s="1"/>
      <c r="B3" s="1"/>
      <c r="C3" s="1"/>
      <c r="D3" s="1"/>
      <c r="E3" s="1"/>
      <c r="F3" s="1" t="s">
        <v>40</v>
      </c>
    </row>
    <row r="4" spans="1:11" s="10" customFormat="1" x14ac:dyDescent="0.3">
      <c r="A4" s="8" t="s">
        <v>25</v>
      </c>
      <c r="B4" s="8" t="s">
        <v>26</v>
      </c>
      <c r="C4" s="8" t="s">
        <v>43</v>
      </c>
      <c r="D4" s="27" t="s">
        <v>1</v>
      </c>
      <c r="E4" s="8" t="s">
        <v>43</v>
      </c>
      <c r="F4" s="27" t="s">
        <v>0</v>
      </c>
      <c r="G4"/>
      <c r="H4"/>
      <c r="I4"/>
      <c r="J4"/>
      <c r="K4"/>
    </row>
    <row r="5" spans="1:11" x14ac:dyDescent="0.3">
      <c r="A5" s="1">
        <v>0</v>
      </c>
      <c r="B5" s="1">
        <v>-1000</v>
      </c>
      <c r="C5" s="29">
        <v>8</v>
      </c>
      <c r="D5" s="30">
        <f t="shared" ref="D5:D13" si="0">FV($B$2,C5,,B5)</f>
        <v>1992.562641690193</v>
      </c>
      <c r="E5" s="29">
        <v>0</v>
      </c>
      <c r="F5" s="30">
        <f t="shared" ref="F5:F13" si="1">PV($B$2,E5,,B5)</f>
        <v>1000</v>
      </c>
    </row>
    <row r="6" spans="1:11" x14ac:dyDescent="0.3">
      <c r="A6" s="1">
        <v>1</v>
      </c>
      <c r="B6" s="1"/>
      <c r="C6" s="1">
        <v>7</v>
      </c>
      <c r="D6" s="30">
        <f t="shared" si="0"/>
        <v>0</v>
      </c>
      <c r="E6" s="1">
        <v>1</v>
      </c>
      <c r="F6" s="30">
        <f t="shared" si="1"/>
        <v>0</v>
      </c>
    </row>
    <row r="7" spans="1:11" x14ac:dyDescent="0.3">
      <c r="A7" s="1">
        <v>2</v>
      </c>
      <c r="B7" s="1">
        <v>-2000</v>
      </c>
      <c r="C7" s="29">
        <v>6</v>
      </c>
      <c r="D7" s="30">
        <f t="shared" si="0"/>
        <v>3354.2002216820015</v>
      </c>
      <c r="E7" s="29">
        <v>2</v>
      </c>
      <c r="F7" s="30">
        <f t="shared" si="1"/>
        <v>1683.3599865331198</v>
      </c>
    </row>
    <row r="8" spans="1:11" x14ac:dyDescent="0.3">
      <c r="A8" s="1">
        <v>3</v>
      </c>
      <c r="B8" s="1">
        <v>3000</v>
      </c>
      <c r="C8" s="1">
        <v>5</v>
      </c>
      <c r="D8" s="30">
        <f t="shared" si="0"/>
        <v>-4615.8718647000014</v>
      </c>
      <c r="E8" s="1">
        <v>3</v>
      </c>
      <c r="F8" s="30">
        <f t="shared" si="1"/>
        <v>-2316.5504401831922</v>
      </c>
    </row>
    <row r="9" spans="1:11" x14ac:dyDescent="0.3">
      <c r="A9" s="1">
        <v>4</v>
      </c>
      <c r="B9" s="1"/>
      <c r="C9" s="29">
        <v>4</v>
      </c>
      <c r="D9" s="30">
        <f t="shared" si="0"/>
        <v>0</v>
      </c>
      <c r="E9" s="29">
        <v>4</v>
      </c>
      <c r="F9" s="30">
        <f t="shared" si="1"/>
        <v>0</v>
      </c>
    </row>
    <row r="10" spans="1:11" x14ac:dyDescent="0.3">
      <c r="A10" s="1">
        <v>5</v>
      </c>
      <c r="B10" s="1">
        <v>-8000</v>
      </c>
      <c r="C10" s="1">
        <v>3</v>
      </c>
      <c r="D10" s="30">
        <f t="shared" si="0"/>
        <v>10360.232000000002</v>
      </c>
      <c r="E10" s="1">
        <v>5</v>
      </c>
      <c r="F10" s="30">
        <f t="shared" si="1"/>
        <v>5199.4510903867622</v>
      </c>
    </row>
    <row r="11" spans="1:11" x14ac:dyDescent="0.3">
      <c r="A11" s="1">
        <v>6</v>
      </c>
      <c r="B11" s="1"/>
      <c r="C11" s="29">
        <v>2</v>
      </c>
      <c r="D11" s="30">
        <f t="shared" si="0"/>
        <v>0</v>
      </c>
      <c r="E11" s="29">
        <v>6</v>
      </c>
      <c r="F11" s="30">
        <f t="shared" si="1"/>
        <v>0</v>
      </c>
    </row>
    <row r="12" spans="1:11" x14ac:dyDescent="0.3">
      <c r="A12" s="1">
        <v>7</v>
      </c>
      <c r="B12" s="1">
        <v>5000</v>
      </c>
      <c r="C12" s="1">
        <v>1</v>
      </c>
      <c r="D12" s="30">
        <f t="shared" si="0"/>
        <v>-5450</v>
      </c>
      <c r="E12" s="1">
        <v>7</v>
      </c>
      <c r="F12" s="30">
        <f t="shared" si="1"/>
        <v>-2735.1712242165863</v>
      </c>
    </row>
    <row r="13" spans="1:11" ht="15" thickBot="1" x14ac:dyDescent="0.35">
      <c r="A13" s="28">
        <v>8</v>
      </c>
      <c r="B13" s="28"/>
      <c r="C13" s="31">
        <v>0</v>
      </c>
      <c r="D13" s="30">
        <f t="shared" si="0"/>
        <v>0</v>
      </c>
      <c r="E13" s="31">
        <v>8</v>
      </c>
      <c r="F13" s="30">
        <f t="shared" si="1"/>
        <v>0</v>
      </c>
    </row>
    <row r="14" spans="1:11" ht="15" thickBot="1" x14ac:dyDescent="0.35">
      <c r="A14" s="32" t="s">
        <v>46</v>
      </c>
      <c r="B14" s="32"/>
      <c r="C14" s="32"/>
      <c r="D14" s="33">
        <f>SUM(D5:D13)</f>
        <v>5641.1229986721955</v>
      </c>
      <c r="E14" s="32"/>
      <c r="F14" s="33">
        <f>SUM(F5:F13)</f>
        <v>2831.0894125201035</v>
      </c>
    </row>
    <row r="15" spans="1:11" ht="15" thickTop="1" x14ac:dyDescent="0.3"/>
    <row r="16" spans="1:11" x14ac:dyDescent="0.3">
      <c r="D16" s="102">
        <f>D14/(1+B2)^A13</f>
        <v>2831.0894125201044</v>
      </c>
    </row>
  </sheetData>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7"/>
  <sheetViews>
    <sheetView workbookViewId="0">
      <selection activeCell="B15" sqref="B15"/>
    </sheetView>
  </sheetViews>
  <sheetFormatPr defaultRowHeight="14.4" x14ac:dyDescent="0.3"/>
  <cols>
    <col min="1" max="1" width="39.33203125" style="10" customWidth="1"/>
    <col min="2" max="2" width="11.6640625" bestFit="1" customWidth="1"/>
    <col min="3" max="4" width="20.6640625" customWidth="1"/>
    <col min="257" max="257" width="39.33203125" customWidth="1"/>
    <col min="258" max="258" width="11.6640625" bestFit="1" customWidth="1"/>
    <col min="259" max="260" width="20.6640625" customWidth="1"/>
    <col min="513" max="513" width="39.33203125" customWidth="1"/>
    <col min="514" max="514" width="11.6640625" bestFit="1" customWidth="1"/>
    <col min="515" max="516" width="20.6640625" customWidth="1"/>
    <col min="769" max="769" width="39.33203125" customWidth="1"/>
    <col min="770" max="770" width="11.6640625" bestFit="1" customWidth="1"/>
    <col min="771" max="772" width="20.6640625" customWidth="1"/>
    <col min="1025" max="1025" width="39.33203125" customWidth="1"/>
    <col min="1026" max="1026" width="11.6640625" bestFit="1" customWidth="1"/>
    <col min="1027" max="1028" width="20.6640625" customWidth="1"/>
    <col min="1281" max="1281" width="39.33203125" customWidth="1"/>
    <col min="1282" max="1282" width="11.6640625" bestFit="1" customWidth="1"/>
    <col min="1283" max="1284" width="20.6640625" customWidth="1"/>
    <col min="1537" max="1537" width="39.33203125" customWidth="1"/>
    <col min="1538" max="1538" width="11.6640625" bestFit="1" customWidth="1"/>
    <col min="1539" max="1540" width="20.6640625" customWidth="1"/>
    <col min="1793" max="1793" width="39.33203125" customWidth="1"/>
    <col min="1794" max="1794" width="11.6640625" bestFit="1" customWidth="1"/>
    <col min="1795" max="1796" width="20.6640625" customWidth="1"/>
    <col min="2049" max="2049" width="39.33203125" customWidth="1"/>
    <col min="2050" max="2050" width="11.6640625" bestFit="1" customWidth="1"/>
    <col min="2051" max="2052" width="20.6640625" customWidth="1"/>
    <col min="2305" max="2305" width="39.33203125" customWidth="1"/>
    <col min="2306" max="2306" width="11.6640625" bestFit="1" customWidth="1"/>
    <col min="2307" max="2308" width="20.6640625" customWidth="1"/>
    <col min="2561" max="2561" width="39.33203125" customWidth="1"/>
    <col min="2562" max="2562" width="11.6640625" bestFit="1" customWidth="1"/>
    <col min="2563" max="2564" width="20.6640625" customWidth="1"/>
    <col min="2817" max="2817" width="39.33203125" customWidth="1"/>
    <col min="2818" max="2818" width="11.6640625" bestFit="1" customWidth="1"/>
    <col min="2819" max="2820" width="20.6640625" customWidth="1"/>
    <col min="3073" max="3073" width="39.33203125" customWidth="1"/>
    <col min="3074" max="3074" width="11.6640625" bestFit="1" customWidth="1"/>
    <col min="3075" max="3076" width="20.6640625" customWidth="1"/>
    <col min="3329" max="3329" width="39.33203125" customWidth="1"/>
    <col min="3330" max="3330" width="11.6640625" bestFit="1" customWidth="1"/>
    <col min="3331" max="3332" width="20.6640625" customWidth="1"/>
    <col min="3585" max="3585" width="39.33203125" customWidth="1"/>
    <col min="3586" max="3586" width="11.6640625" bestFit="1" customWidth="1"/>
    <col min="3587" max="3588" width="20.6640625" customWidth="1"/>
    <col min="3841" max="3841" width="39.33203125" customWidth="1"/>
    <col min="3842" max="3842" width="11.6640625" bestFit="1" customWidth="1"/>
    <col min="3843" max="3844" width="20.6640625" customWidth="1"/>
    <col min="4097" max="4097" width="39.33203125" customWidth="1"/>
    <col min="4098" max="4098" width="11.6640625" bestFit="1" customWidth="1"/>
    <col min="4099" max="4100" width="20.6640625" customWidth="1"/>
    <col min="4353" max="4353" width="39.33203125" customWidth="1"/>
    <col min="4354" max="4354" width="11.6640625" bestFit="1" customWidth="1"/>
    <col min="4355" max="4356" width="20.6640625" customWidth="1"/>
    <col min="4609" max="4609" width="39.33203125" customWidth="1"/>
    <col min="4610" max="4610" width="11.6640625" bestFit="1" customWidth="1"/>
    <col min="4611" max="4612" width="20.6640625" customWidth="1"/>
    <col min="4865" max="4865" width="39.33203125" customWidth="1"/>
    <col min="4866" max="4866" width="11.6640625" bestFit="1" customWidth="1"/>
    <col min="4867" max="4868" width="20.6640625" customWidth="1"/>
    <col min="5121" max="5121" width="39.33203125" customWidth="1"/>
    <col min="5122" max="5122" width="11.6640625" bestFit="1" customWidth="1"/>
    <col min="5123" max="5124" width="20.6640625" customWidth="1"/>
    <col min="5377" max="5377" width="39.33203125" customWidth="1"/>
    <col min="5378" max="5378" width="11.6640625" bestFit="1" customWidth="1"/>
    <col min="5379" max="5380" width="20.6640625" customWidth="1"/>
    <col min="5633" max="5633" width="39.33203125" customWidth="1"/>
    <col min="5634" max="5634" width="11.6640625" bestFit="1" customWidth="1"/>
    <col min="5635" max="5636" width="20.6640625" customWidth="1"/>
    <col min="5889" max="5889" width="39.33203125" customWidth="1"/>
    <col min="5890" max="5890" width="11.6640625" bestFit="1" customWidth="1"/>
    <col min="5891" max="5892" width="20.6640625" customWidth="1"/>
    <col min="6145" max="6145" width="39.33203125" customWidth="1"/>
    <col min="6146" max="6146" width="11.6640625" bestFit="1" customWidth="1"/>
    <col min="6147" max="6148" width="20.6640625" customWidth="1"/>
    <col min="6401" max="6401" width="39.33203125" customWidth="1"/>
    <col min="6402" max="6402" width="11.6640625" bestFit="1" customWidth="1"/>
    <col min="6403" max="6404" width="20.6640625" customWidth="1"/>
    <col min="6657" max="6657" width="39.33203125" customWidth="1"/>
    <col min="6658" max="6658" width="11.6640625" bestFit="1" customWidth="1"/>
    <col min="6659" max="6660" width="20.6640625" customWidth="1"/>
    <col min="6913" max="6913" width="39.33203125" customWidth="1"/>
    <col min="6914" max="6914" width="11.6640625" bestFit="1" customWidth="1"/>
    <col min="6915" max="6916" width="20.6640625" customWidth="1"/>
    <col min="7169" max="7169" width="39.33203125" customWidth="1"/>
    <col min="7170" max="7170" width="11.6640625" bestFit="1" customWidth="1"/>
    <col min="7171" max="7172" width="20.6640625" customWidth="1"/>
    <col min="7425" max="7425" width="39.33203125" customWidth="1"/>
    <col min="7426" max="7426" width="11.6640625" bestFit="1" customWidth="1"/>
    <col min="7427" max="7428" width="20.6640625" customWidth="1"/>
    <col min="7681" max="7681" width="39.33203125" customWidth="1"/>
    <col min="7682" max="7682" width="11.6640625" bestFit="1" customWidth="1"/>
    <col min="7683" max="7684" width="20.6640625" customWidth="1"/>
    <col min="7937" max="7937" width="39.33203125" customWidth="1"/>
    <col min="7938" max="7938" width="11.6640625" bestFit="1" customWidth="1"/>
    <col min="7939" max="7940" width="20.6640625" customWidth="1"/>
    <col min="8193" max="8193" width="39.33203125" customWidth="1"/>
    <col min="8194" max="8194" width="11.6640625" bestFit="1" customWidth="1"/>
    <col min="8195" max="8196" width="20.6640625" customWidth="1"/>
    <col min="8449" max="8449" width="39.33203125" customWidth="1"/>
    <col min="8450" max="8450" width="11.6640625" bestFit="1" customWidth="1"/>
    <col min="8451" max="8452" width="20.6640625" customWidth="1"/>
    <col min="8705" max="8705" width="39.33203125" customWidth="1"/>
    <col min="8706" max="8706" width="11.6640625" bestFit="1" customWidth="1"/>
    <col min="8707" max="8708" width="20.6640625" customWidth="1"/>
    <col min="8961" max="8961" width="39.33203125" customWidth="1"/>
    <col min="8962" max="8962" width="11.6640625" bestFit="1" customWidth="1"/>
    <col min="8963" max="8964" width="20.6640625" customWidth="1"/>
    <col min="9217" max="9217" width="39.33203125" customWidth="1"/>
    <col min="9218" max="9218" width="11.6640625" bestFit="1" customWidth="1"/>
    <col min="9219" max="9220" width="20.6640625" customWidth="1"/>
    <col min="9473" max="9473" width="39.33203125" customWidth="1"/>
    <col min="9474" max="9474" width="11.6640625" bestFit="1" customWidth="1"/>
    <col min="9475" max="9476" width="20.6640625" customWidth="1"/>
    <col min="9729" max="9729" width="39.33203125" customWidth="1"/>
    <col min="9730" max="9730" width="11.6640625" bestFit="1" customWidth="1"/>
    <col min="9731" max="9732" width="20.6640625" customWidth="1"/>
    <col min="9985" max="9985" width="39.33203125" customWidth="1"/>
    <col min="9986" max="9986" width="11.6640625" bestFit="1" customWidth="1"/>
    <col min="9987" max="9988" width="20.6640625" customWidth="1"/>
    <col min="10241" max="10241" width="39.33203125" customWidth="1"/>
    <col min="10242" max="10242" width="11.6640625" bestFit="1" customWidth="1"/>
    <col min="10243" max="10244" width="20.6640625" customWidth="1"/>
    <col min="10497" max="10497" width="39.33203125" customWidth="1"/>
    <col min="10498" max="10498" width="11.6640625" bestFit="1" customWidth="1"/>
    <col min="10499" max="10500" width="20.6640625" customWidth="1"/>
    <col min="10753" max="10753" width="39.33203125" customWidth="1"/>
    <col min="10754" max="10754" width="11.6640625" bestFit="1" customWidth="1"/>
    <col min="10755" max="10756" width="20.6640625" customWidth="1"/>
    <col min="11009" max="11009" width="39.33203125" customWidth="1"/>
    <col min="11010" max="11010" width="11.6640625" bestFit="1" customWidth="1"/>
    <col min="11011" max="11012" width="20.6640625" customWidth="1"/>
    <col min="11265" max="11265" width="39.33203125" customWidth="1"/>
    <col min="11266" max="11266" width="11.6640625" bestFit="1" customWidth="1"/>
    <col min="11267" max="11268" width="20.6640625" customWidth="1"/>
    <col min="11521" max="11521" width="39.33203125" customWidth="1"/>
    <col min="11522" max="11522" width="11.6640625" bestFit="1" customWidth="1"/>
    <col min="11523" max="11524" width="20.6640625" customWidth="1"/>
    <col min="11777" max="11777" width="39.33203125" customWidth="1"/>
    <col min="11778" max="11778" width="11.6640625" bestFit="1" customWidth="1"/>
    <col min="11779" max="11780" width="20.6640625" customWidth="1"/>
    <col min="12033" max="12033" width="39.33203125" customWidth="1"/>
    <col min="12034" max="12034" width="11.6640625" bestFit="1" customWidth="1"/>
    <col min="12035" max="12036" width="20.6640625" customWidth="1"/>
    <col min="12289" max="12289" width="39.33203125" customWidth="1"/>
    <col min="12290" max="12290" width="11.6640625" bestFit="1" customWidth="1"/>
    <col min="12291" max="12292" width="20.6640625" customWidth="1"/>
    <col min="12545" max="12545" width="39.33203125" customWidth="1"/>
    <col min="12546" max="12546" width="11.6640625" bestFit="1" customWidth="1"/>
    <col min="12547" max="12548" width="20.6640625" customWidth="1"/>
    <col min="12801" max="12801" width="39.33203125" customWidth="1"/>
    <col min="12802" max="12802" width="11.6640625" bestFit="1" customWidth="1"/>
    <col min="12803" max="12804" width="20.6640625" customWidth="1"/>
    <col min="13057" max="13057" width="39.33203125" customWidth="1"/>
    <col min="13058" max="13058" width="11.6640625" bestFit="1" customWidth="1"/>
    <col min="13059" max="13060" width="20.6640625" customWidth="1"/>
    <col min="13313" max="13313" width="39.33203125" customWidth="1"/>
    <col min="13314" max="13314" width="11.6640625" bestFit="1" customWidth="1"/>
    <col min="13315" max="13316" width="20.6640625" customWidth="1"/>
    <col min="13569" max="13569" width="39.33203125" customWidth="1"/>
    <col min="13570" max="13570" width="11.6640625" bestFit="1" customWidth="1"/>
    <col min="13571" max="13572" width="20.6640625" customWidth="1"/>
    <col min="13825" max="13825" width="39.33203125" customWidth="1"/>
    <col min="13826" max="13826" width="11.6640625" bestFit="1" customWidth="1"/>
    <col min="13827" max="13828" width="20.6640625" customWidth="1"/>
    <col min="14081" max="14081" width="39.33203125" customWidth="1"/>
    <col min="14082" max="14082" width="11.6640625" bestFit="1" customWidth="1"/>
    <col min="14083" max="14084" width="20.6640625" customWidth="1"/>
    <col min="14337" max="14337" width="39.33203125" customWidth="1"/>
    <col min="14338" max="14338" width="11.6640625" bestFit="1" customWidth="1"/>
    <col min="14339" max="14340" width="20.6640625" customWidth="1"/>
    <col min="14593" max="14593" width="39.33203125" customWidth="1"/>
    <col min="14594" max="14594" width="11.6640625" bestFit="1" customWidth="1"/>
    <col min="14595" max="14596" width="20.6640625" customWidth="1"/>
    <col min="14849" max="14849" width="39.33203125" customWidth="1"/>
    <col min="14850" max="14850" width="11.6640625" bestFit="1" customWidth="1"/>
    <col min="14851" max="14852" width="20.6640625" customWidth="1"/>
    <col min="15105" max="15105" width="39.33203125" customWidth="1"/>
    <col min="15106" max="15106" width="11.6640625" bestFit="1" customWidth="1"/>
    <col min="15107" max="15108" width="20.6640625" customWidth="1"/>
    <col min="15361" max="15361" width="39.33203125" customWidth="1"/>
    <col min="15362" max="15362" width="11.6640625" bestFit="1" customWidth="1"/>
    <col min="15363" max="15364" width="20.6640625" customWidth="1"/>
    <col min="15617" max="15617" width="39.33203125" customWidth="1"/>
    <col min="15618" max="15618" width="11.6640625" bestFit="1" customWidth="1"/>
    <col min="15619" max="15620" width="20.6640625" customWidth="1"/>
    <col min="15873" max="15873" width="39.33203125" customWidth="1"/>
    <col min="15874" max="15874" width="11.6640625" bestFit="1" customWidth="1"/>
    <col min="15875" max="15876" width="20.6640625" customWidth="1"/>
    <col min="16129" max="16129" width="39.33203125" customWidth="1"/>
    <col min="16130" max="16130" width="11.6640625" bestFit="1" customWidth="1"/>
    <col min="16131" max="16132" width="20.6640625" customWidth="1"/>
  </cols>
  <sheetData>
    <row r="1" spans="1:4" ht="28.95" x14ac:dyDescent="0.3">
      <c r="A1" s="8" t="s">
        <v>160</v>
      </c>
      <c r="B1" s="21">
        <v>12000</v>
      </c>
    </row>
    <row r="2" spans="1:4" x14ac:dyDescent="0.3">
      <c r="A2" s="8" t="s">
        <v>161</v>
      </c>
      <c r="B2" s="29"/>
    </row>
    <row r="3" spans="1:4" x14ac:dyDescent="0.3">
      <c r="A3" s="8" t="s">
        <v>77</v>
      </c>
      <c r="B3" s="1">
        <v>10</v>
      </c>
    </row>
    <row r="4" spans="1:4" x14ac:dyDescent="0.3">
      <c r="A4" s="8" t="s">
        <v>162</v>
      </c>
      <c r="B4" s="1">
        <v>0.15</v>
      </c>
    </row>
    <row r="5" spans="1:4" x14ac:dyDescent="0.3">
      <c r="A5" s="8" t="s">
        <v>39</v>
      </c>
      <c r="B5" s="1">
        <v>1</v>
      </c>
    </row>
    <row r="6" spans="1:4" ht="28.95" x14ac:dyDescent="0.3">
      <c r="A6" s="8" t="s">
        <v>163</v>
      </c>
      <c r="B6" s="30"/>
    </row>
    <row r="7" spans="1:4" x14ac:dyDescent="0.3">
      <c r="A7" s="8" t="s">
        <v>82</v>
      </c>
      <c r="B7" s="44"/>
      <c r="C7" s="59"/>
      <c r="D7" s="60"/>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workbookViewId="0">
      <selection activeCell="B15" sqref="B15"/>
    </sheetView>
  </sheetViews>
  <sheetFormatPr defaultRowHeight="14.4" x14ac:dyDescent="0.3"/>
  <cols>
    <col min="1" max="1" width="39.33203125" style="10" customWidth="1"/>
    <col min="2" max="2" width="11.6640625" bestFit="1" customWidth="1"/>
    <col min="3" max="4" width="20.6640625" customWidth="1"/>
    <col min="257" max="257" width="39.33203125" customWidth="1"/>
    <col min="258" max="258" width="11.6640625" bestFit="1" customWidth="1"/>
    <col min="259" max="260" width="20.6640625" customWidth="1"/>
    <col min="513" max="513" width="39.33203125" customWidth="1"/>
    <col min="514" max="514" width="11.6640625" bestFit="1" customWidth="1"/>
    <col min="515" max="516" width="20.6640625" customWidth="1"/>
    <col min="769" max="769" width="39.33203125" customWidth="1"/>
    <col min="770" max="770" width="11.6640625" bestFit="1" customWidth="1"/>
    <col min="771" max="772" width="20.6640625" customWidth="1"/>
    <col min="1025" max="1025" width="39.33203125" customWidth="1"/>
    <col min="1026" max="1026" width="11.6640625" bestFit="1" customWidth="1"/>
    <col min="1027" max="1028" width="20.6640625" customWidth="1"/>
    <col min="1281" max="1281" width="39.33203125" customWidth="1"/>
    <col min="1282" max="1282" width="11.6640625" bestFit="1" customWidth="1"/>
    <col min="1283" max="1284" width="20.6640625" customWidth="1"/>
    <col min="1537" max="1537" width="39.33203125" customWidth="1"/>
    <col min="1538" max="1538" width="11.6640625" bestFit="1" customWidth="1"/>
    <col min="1539" max="1540" width="20.6640625" customWidth="1"/>
    <col min="1793" max="1793" width="39.33203125" customWidth="1"/>
    <col min="1794" max="1794" width="11.6640625" bestFit="1" customWidth="1"/>
    <col min="1795" max="1796" width="20.6640625" customWidth="1"/>
    <col min="2049" max="2049" width="39.33203125" customWidth="1"/>
    <col min="2050" max="2050" width="11.6640625" bestFit="1" customWidth="1"/>
    <col min="2051" max="2052" width="20.6640625" customWidth="1"/>
    <col min="2305" max="2305" width="39.33203125" customWidth="1"/>
    <col min="2306" max="2306" width="11.6640625" bestFit="1" customWidth="1"/>
    <col min="2307" max="2308" width="20.6640625" customWidth="1"/>
    <col min="2561" max="2561" width="39.33203125" customWidth="1"/>
    <col min="2562" max="2562" width="11.6640625" bestFit="1" customWidth="1"/>
    <col min="2563" max="2564" width="20.6640625" customWidth="1"/>
    <col min="2817" max="2817" width="39.33203125" customWidth="1"/>
    <col min="2818" max="2818" width="11.6640625" bestFit="1" customWidth="1"/>
    <col min="2819" max="2820" width="20.6640625" customWidth="1"/>
    <col min="3073" max="3073" width="39.33203125" customWidth="1"/>
    <col min="3074" max="3074" width="11.6640625" bestFit="1" customWidth="1"/>
    <col min="3075" max="3076" width="20.6640625" customWidth="1"/>
    <col min="3329" max="3329" width="39.33203125" customWidth="1"/>
    <col min="3330" max="3330" width="11.6640625" bestFit="1" customWidth="1"/>
    <col min="3331" max="3332" width="20.6640625" customWidth="1"/>
    <col min="3585" max="3585" width="39.33203125" customWidth="1"/>
    <col min="3586" max="3586" width="11.6640625" bestFit="1" customWidth="1"/>
    <col min="3587" max="3588" width="20.6640625" customWidth="1"/>
    <col min="3841" max="3841" width="39.33203125" customWidth="1"/>
    <col min="3842" max="3842" width="11.6640625" bestFit="1" customWidth="1"/>
    <col min="3843" max="3844" width="20.6640625" customWidth="1"/>
    <col min="4097" max="4097" width="39.33203125" customWidth="1"/>
    <col min="4098" max="4098" width="11.6640625" bestFit="1" customWidth="1"/>
    <col min="4099" max="4100" width="20.6640625" customWidth="1"/>
    <col min="4353" max="4353" width="39.33203125" customWidth="1"/>
    <col min="4354" max="4354" width="11.6640625" bestFit="1" customWidth="1"/>
    <col min="4355" max="4356" width="20.6640625" customWidth="1"/>
    <col min="4609" max="4609" width="39.33203125" customWidth="1"/>
    <col min="4610" max="4610" width="11.6640625" bestFit="1" customWidth="1"/>
    <col min="4611" max="4612" width="20.6640625" customWidth="1"/>
    <col min="4865" max="4865" width="39.33203125" customWidth="1"/>
    <col min="4866" max="4866" width="11.6640625" bestFit="1" customWidth="1"/>
    <col min="4867" max="4868" width="20.6640625" customWidth="1"/>
    <col min="5121" max="5121" width="39.33203125" customWidth="1"/>
    <col min="5122" max="5122" width="11.6640625" bestFit="1" customWidth="1"/>
    <col min="5123" max="5124" width="20.6640625" customWidth="1"/>
    <col min="5377" max="5377" width="39.33203125" customWidth="1"/>
    <col min="5378" max="5378" width="11.6640625" bestFit="1" customWidth="1"/>
    <col min="5379" max="5380" width="20.6640625" customWidth="1"/>
    <col min="5633" max="5633" width="39.33203125" customWidth="1"/>
    <col min="5634" max="5634" width="11.6640625" bestFit="1" customWidth="1"/>
    <col min="5635" max="5636" width="20.6640625" customWidth="1"/>
    <col min="5889" max="5889" width="39.33203125" customWidth="1"/>
    <col min="5890" max="5890" width="11.6640625" bestFit="1" customWidth="1"/>
    <col min="5891" max="5892" width="20.6640625" customWidth="1"/>
    <col min="6145" max="6145" width="39.33203125" customWidth="1"/>
    <col min="6146" max="6146" width="11.6640625" bestFit="1" customWidth="1"/>
    <col min="6147" max="6148" width="20.6640625" customWidth="1"/>
    <col min="6401" max="6401" width="39.33203125" customWidth="1"/>
    <col min="6402" max="6402" width="11.6640625" bestFit="1" customWidth="1"/>
    <col min="6403" max="6404" width="20.6640625" customWidth="1"/>
    <col min="6657" max="6657" width="39.33203125" customWidth="1"/>
    <col min="6658" max="6658" width="11.6640625" bestFit="1" customWidth="1"/>
    <col min="6659" max="6660" width="20.6640625" customWidth="1"/>
    <col min="6913" max="6913" width="39.33203125" customWidth="1"/>
    <col min="6914" max="6914" width="11.6640625" bestFit="1" customWidth="1"/>
    <col min="6915" max="6916" width="20.6640625" customWidth="1"/>
    <col min="7169" max="7169" width="39.33203125" customWidth="1"/>
    <col min="7170" max="7170" width="11.6640625" bestFit="1" customWidth="1"/>
    <col min="7171" max="7172" width="20.6640625" customWidth="1"/>
    <col min="7425" max="7425" width="39.33203125" customWidth="1"/>
    <col min="7426" max="7426" width="11.6640625" bestFit="1" customWidth="1"/>
    <col min="7427" max="7428" width="20.6640625" customWidth="1"/>
    <col min="7681" max="7681" width="39.33203125" customWidth="1"/>
    <col min="7682" max="7682" width="11.6640625" bestFit="1" customWidth="1"/>
    <col min="7683" max="7684" width="20.6640625" customWidth="1"/>
    <col min="7937" max="7937" width="39.33203125" customWidth="1"/>
    <col min="7938" max="7938" width="11.6640625" bestFit="1" customWidth="1"/>
    <col min="7939" max="7940" width="20.6640625" customWidth="1"/>
    <col min="8193" max="8193" width="39.33203125" customWidth="1"/>
    <col min="8194" max="8194" width="11.6640625" bestFit="1" customWidth="1"/>
    <col min="8195" max="8196" width="20.6640625" customWidth="1"/>
    <col min="8449" max="8449" width="39.33203125" customWidth="1"/>
    <col min="8450" max="8450" width="11.6640625" bestFit="1" customWidth="1"/>
    <col min="8451" max="8452" width="20.6640625" customWidth="1"/>
    <col min="8705" max="8705" width="39.33203125" customWidth="1"/>
    <col min="8706" max="8706" width="11.6640625" bestFit="1" customWidth="1"/>
    <col min="8707" max="8708" width="20.6640625" customWidth="1"/>
    <col min="8961" max="8961" width="39.33203125" customWidth="1"/>
    <col min="8962" max="8962" width="11.6640625" bestFit="1" customWidth="1"/>
    <col min="8963" max="8964" width="20.6640625" customWidth="1"/>
    <col min="9217" max="9217" width="39.33203125" customWidth="1"/>
    <col min="9218" max="9218" width="11.6640625" bestFit="1" customWidth="1"/>
    <col min="9219" max="9220" width="20.6640625" customWidth="1"/>
    <col min="9473" max="9473" width="39.33203125" customWidth="1"/>
    <col min="9474" max="9474" width="11.6640625" bestFit="1" customWidth="1"/>
    <col min="9475" max="9476" width="20.6640625" customWidth="1"/>
    <col min="9729" max="9729" width="39.33203125" customWidth="1"/>
    <col min="9730" max="9730" width="11.6640625" bestFit="1" customWidth="1"/>
    <col min="9731" max="9732" width="20.6640625" customWidth="1"/>
    <col min="9985" max="9985" width="39.33203125" customWidth="1"/>
    <col min="9986" max="9986" width="11.6640625" bestFit="1" customWidth="1"/>
    <col min="9987" max="9988" width="20.6640625" customWidth="1"/>
    <col min="10241" max="10241" width="39.33203125" customWidth="1"/>
    <col min="10242" max="10242" width="11.6640625" bestFit="1" customWidth="1"/>
    <col min="10243" max="10244" width="20.6640625" customWidth="1"/>
    <col min="10497" max="10497" width="39.33203125" customWidth="1"/>
    <col min="10498" max="10498" width="11.6640625" bestFit="1" customWidth="1"/>
    <col min="10499" max="10500" width="20.6640625" customWidth="1"/>
    <col min="10753" max="10753" width="39.33203125" customWidth="1"/>
    <col min="10754" max="10754" width="11.6640625" bestFit="1" customWidth="1"/>
    <col min="10755" max="10756" width="20.6640625" customWidth="1"/>
    <col min="11009" max="11009" width="39.33203125" customWidth="1"/>
    <col min="11010" max="11010" width="11.6640625" bestFit="1" customWidth="1"/>
    <col min="11011" max="11012" width="20.6640625" customWidth="1"/>
    <col min="11265" max="11265" width="39.33203125" customWidth="1"/>
    <col min="11266" max="11266" width="11.6640625" bestFit="1" customWidth="1"/>
    <col min="11267" max="11268" width="20.6640625" customWidth="1"/>
    <col min="11521" max="11521" width="39.33203125" customWidth="1"/>
    <col min="11522" max="11522" width="11.6640625" bestFit="1" customWidth="1"/>
    <col min="11523" max="11524" width="20.6640625" customWidth="1"/>
    <col min="11777" max="11777" width="39.33203125" customWidth="1"/>
    <col min="11778" max="11778" width="11.6640625" bestFit="1" customWidth="1"/>
    <col min="11779" max="11780" width="20.6640625" customWidth="1"/>
    <col min="12033" max="12033" width="39.33203125" customWidth="1"/>
    <col min="12034" max="12034" width="11.6640625" bestFit="1" customWidth="1"/>
    <col min="12035" max="12036" width="20.6640625" customWidth="1"/>
    <col min="12289" max="12289" width="39.33203125" customWidth="1"/>
    <col min="12290" max="12290" width="11.6640625" bestFit="1" customWidth="1"/>
    <col min="12291" max="12292" width="20.6640625" customWidth="1"/>
    <col min="12545" max="12545" width="39.33203125" customWidth="1"/>
    <col min="12546" max="12546" width="11.6640625" bestFit="1" customWidth="1"/>
    <col min="12547" max="12548" width="20.6640625" customWidth="1"/>
    <col min="12801" max="12801" width="39.33203125" customWidth="1"/>
    <col min="12802" max="12802" width="11.6640625" bestFit="1" customWidth="1"/>
    <col min="12803" max="12804" width="20.6640625" customWidth="1"/>
    <col min="13057" max="13057" width="39.33203125" customWidth="1"/>
    <col min="13058" max="13058" width="11.6640625" bestFit="1" customWidth="1"/>
    <col min="13059" max="13060" width="20.6640625" customWidth="1"/>
    <col min="13313" max="13313" width="39.33203125" customWidth="1"/>
    <col min="13314" max="13314" width="11.6640625" bestFit="1" customWidth="1"/>
    <col min="13315" max="13316" width="20.6640625" customWidth="1"/>
    <col min="13569" max="13569" width="39.33203125" customWidth="1"/>
    <col min="13570" max="13570" width="11.6640625" bestFit="1" customWidth="1"/>
    <col min="13571" max="13572" width="20.6640625" customWidth="1"/>
    <col min="13825" max="13825" width="39.33203125" customWidth="1"/>
    <col min="13826" max="13826" width="11.6640625" bestFit="1" customWidth="1"/>
    <col min="13827" max="13828" width="20.6640625" customWidth="1"/>
    <col min="14081" max="14081" width="39.33203125" customWidth="1"/>
    <col min="14082" max="14082" width="11.6640625" bestFit="1" customWidth="1"/>
    <col min="14083" max="14084" width="20.6640625" customWidth="1"/>
    <col min="14337" max="14337" width="39.33203125" customWidth="1"/>
    <col min="14338" max="14338" width="11.6640625" bestFit="1" customWidth="1"/>
    <col min="14339" max="14340" width="20.6640625" customWidth="1"/>
    <col min="14593" max="14593" width="39.33203125" customWidth="1"/>
    <col min="14594" max="14594" width="11.6640625" bestFit="1" customWidth="1"/>
    <col min="14595" max="14596" width="20.6640625" customWidth="1"/>
    <col min="14849" max="14849" width="39.33203125" customWidth="1"/>
    <col min="14850" max="14850" width="11.6640625" bestFit="1" customWidth="1"/>
    <col min="14851" max="14852" width="20.6640625" customWidth="1"/>
    <col min="15105" max="15105" width="39.33203125" customWidth="1"/>
    <col min="15106" max="15106" width="11.6640625" bestFit="1" customWidth="1"/>
    <col min="15107" max="15108" width="20.6640625" customWidth="1"/>
    <col min="15361" max="15361" width="39.33203125" customWidth="1"/>
    <col min="15362" max="15362" width="11.6640625" bestFit="1" customWidth="1"/>
    <col min="15363" max="15364" width="20.6640625" customWidth="1"/>
    <col min="15617" max="15617" width="39.33203125" customWidth="1"/>
    <col min="15618" max="15618" width="11.6640625" bestFit="1" customWidth="1"/>
    <col min="15619" max="15620" width="20.6640625" customWidth="1"/>
    <col min="15873" max="15873" width="39.33203125" customWidth="1"/>
    <col min="15874" max="15874" width="11.6640625" bestFit="1" customWidth="1"/>
    <col min="15875" max="15876" width="20.6640625" customWidth="1"/>
    <col min="16129" max="16129" width="39.33203125" customWidth="1"/>
    <col min="16130" max="16130" width="11.6640625" bestFit="1" customWidth="1"/>
    <col min="16131" max="16132" width="20.6640625" customWidth="1"/>
  </cols>
  <sheetData>
    <row r="1" spans="1:4" ht="28.95" x14ac:dyDescent="0.3">
      <c r="A1" s="8" t="s">
        <v>160</v>
      </c>
      <c r="B1" s="21">
        <v>12000</v>
      </c>
    </row>
    <row r="2" spans="1:4" x14ac:dyDescent="0.3">
      <c r="A2" s="8" t="s">
        <v>161</v>
      </c>
      <c r="B2" s="29"/>
    </row>
    <row r="3" spans="1:4" x14ac:dyDescent="0.3">
      <c r="A3" s="8" t="s">
        <v>77</v>
      </c>
      <c r="B3" s="1">
        <v>10</v>
      </c>
    </row>
    <row r="4" spans="1:4" x14ac:dyDescent="0.3">
      <c r="A4" s="8" t="s">
        <v>162</v>
      </c>
      <c r="B4" s="1">
        <v>0.15</v>
      </c>
    </row>
    <row r="5" spans="1:4" x14ac:dyDescent="0.3">
      <c r="A5" s="8" t="s">
        <v>39</v>
      </c>
      <c r="B5" s="1">
        <v>1</v>
      </c>
    </row>
    <row r="6" spans="1:4" ht="28.95" x14ac:dyDescent="0.3">
      <c r="A6" s="8" t="s">
        <v>163</v>
      </c>
      <c r="B6" s="30">
        <f>-PV(B4/B5,B5*B3,B1)</f>
        <v>60225.22351025074</v>
      </c>
    </row>
    <row r="7" spans="1:4" ht="28.95" x14ac:dyDescent="0.3">
      <c r="A7" s="8" t="s">
        <v>82</v>
      </c>
      <c r="B7" s="44" t="str">
        <f>"The max that we will pay for this investment, given our required rate of return ("&amp;TEXT(B4,"0,00%")&amp;"), is "&amp;DOLLAR(B6)&amp;"."</f>
        <v>The max that we will pay for this investment, given our required rate of return (015%), is $60,225.22.</v>
      </c>
      <c r="C7" s="59"/>
      <c r="D7" s="6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15"/>
  <sheetViews>
    <sheetView zoomScale="130" zoomScaleNormal="130" workbookViewId="0">
      <selection activeCell="C5" sqref="C5"/>
    </sheetView>
  </sheetViews>
  <sheetFormatPr defaultRowHeight="14.4" x14ac:dyDescent="0.3"/>
  <cols>
    <col min="1" max="1" width="23.109375" customWidth="1"/>
    <col min="2" max="2" width="12.21875" bestFit="1" customWidth="1"/>
    <col min="3" max="3" width="18.88671875" customWidth="1"/>
    <col min="4" max="4" width="14.109375" customWidth="1"/>
    <col min="5" max="5" width="3.88671875" customWidth="1"/>
    <col min="6" max="6" width="19.44140625" bestFit="1" customWidth="1"/>
    <col min="8" max="8" width="10" bestFit="1" customWidth="1"/>
    <col min="10" max="10" width="10.44140625" bestFit="1" customWidth="1"/>
  </cols>
  <sheetData>
    <row r="1" spans="1:6" x14ac:dyDescent="0.3">
      <c r="A1" s="8" t="s">
        <v>9</v>
      </c>
      <c r="B1" s="1" t="s">
        <v>2</v>
      </c>
      <c r="C1" s="4">
        <v>0.15</v>
      </c>
      <c r="D1" t="s">
        <v>250</v>
      </c>
    </row>
    <row r="2" spans="1:6" ht="28.95" x14ac:dyDescent="0.3">
      <c r="A2" s="8" t="s">
        <v>27</v>
      </c>
      <c r="B2" s="1" t="s">
        <v>3</v>
      </c>
      <c r="C2" s="3">
        <v>1</v>
      </c>
    </row>
    <row r="3" spans="1:6" x14ac:dyDescent="0.3">
      <c r="A3" s="8" t="s">
        <v>10</v>
      </c>
      <c r="B3" s="1" t="s">
        <v>4</v>
      </c>
      <c r="C3" s="3">
        <v>4</v>
      </c>
      <c r="F3" s="1" t="s">
        <v>252</v>
      </c>
    </row>
    <row r="4" spans="1:6" x14ac:dyDescent="0.3">
      <c r="A4" s="8" t="s">
        <v>35</v>
      </c>
      <c r="B4" s="1"/>
      <c r="C4" s="19">
        <v>-100000</v>
      </c>
      <c r="F4" s="20"/>
    </row>
    <row r="5" spans="1:6" x14ac:dyDescent="0.3">
      <c r="A5" s="8" t="s">
        <v>36</v>
      </c>
      <c r="B5" s="1" t="s">
        <v>0</v>
      </c>
      <c r="C5" s="20"/>
    </row>
    <row r="6" spans="1:6" x14ac:dyDescent="0.3">
      <c r="A6" s="16"/>
      <c r="B6" s="5"/>
    </row>
    <row r="7" spans="1:6" ht="28.95" x14ac:dyDescent="0.3">
      <c r="A7" s="11" t="s">
        <v>25</v>
      </c>
      <c r="B7" s="11" t="s">
        <v>48</v>
      </c>
      <c r="C7" s="11" t="s">
        <v>31</v>
      </c>
      <c r="D7" s="11" t="s">
        <v>32</v>
      </c>
      <c r="F7" s="11" t="s">
        <v>13</v>
      </c>
    </row>
    <row r="8" spans="1:6" x14ac:dyDescent="0.3">
      <c r="A8" s="9" t="s">
        <v>14</v>
      </c>
      <c r="B8" s="1">
        <v>0</v>
      </c>
      <c r="C8" s="21"/>
      <c r="D8" s="20"/>
      <c r="F8" s="20"/>
    </row>
    <row r="9" spans="1:6" x14ac:dyDescent="0.3">
      <c r="A9" s="9" t="s">
        <v>15</v>
      </c>
      <c r="B9" s="1">
        <v>1</v>
      </c>
      <c r="C9" s="21">
        <v>50000</v>
      </c>
      <c r="D9" s="20"/>
      <c r="F9" s="20"/>
    </row>
    <row r="10" spans="1:6" x14ac:dyDescent="0.3">
      <c r="A10" s="9" t="s">
        <v>16</v>
      </c>
      <c r="B10" s="1">
        <v>2</v>
      </c>
      <c r="C10" s="21">
        <v>50000</v>
      </c>
      <c r="D10" s="20"/>
      <c r="F10" s="20"/>
    </row>
    <row r="11" spans="1:6" x14ac:dyDescent="0.3">
      <c r="A11" s="9" t="s">
        <v>17</v>
      </c>
      <c r="B11" s="1">
        <v>3</v>
      </c>
      <c r="C11" s="21">
        <v>10000</v>
      </c>
      <c r="D11" s="20"/>
      <c r="F11" s="20"/>
    </row>
    <row r="12" spans="1:6" x14ac:dyDescent="0.3">
      <c r="A12" s="9" t="s">
        <v>18</v>
      </c>
      <c r="B12" s="1">
        <v>4</v>
      </c>
      <c r="C12" s="21">
        <v>10000</v>
      </c>
      <c r="D12" s="20"/>
      <c r="F12" s="20"/>
    </row>
    <row r="14" spans="1:6" x14ac:dyDescent="0.3">
      <c r="F14" s="21"/>
    </row>
    <row r="15" spans="1:6" x14ac:dyDescent="0.3">
      <c r="A15" s="15"/>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4"/>
  <sheetViews>
    <sheetView zoomScale="175" zoomScaleNormal="175" workbookViewId="0">
      <selection activeCell="B15" sqref="B15"/>
    </sheetView>
  </sheetViews>
  <sheetFormatPr defaultRowHeight="14.4" x14ac:dyDescent="0.3"/>
  <sheetData>
    <row r="1" spans="1:2" x14ac:dyDescent="0.3">
      <c r="A1" s="1" t="s">
        <v>70</v>
      </c>
      <c r="B1" s="1">
        <v>0.09</v>
      </c>
    </row>
    <row r="2" spans="1:2" x14ac:dyDescent="0.3">
      <c r="A2" s="1" t="s">
        <v>39</v>
      </c>
      <c r="B2" s="1">
        <v>12</v>
      </c>
    </row>
    <row r="3" spans="1:2" x14ac:dyDescent="0.3">
      <c r="A3" s="1" t="s">
        <v>71</v>
      </c>
      <c r="B3" s="42"/>
    </row>
    <row r="4" spans="1:2" x14ac:dyDescent="0.3">
      <c r="A4" s="1" t="s">
        <v>71</v>
      </c>
      <c r="B4" s="42"/>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4"/>
  <sheetViews>
    <sheetView zoomScale="175" zoomScaleNormal="175" workbookViewId="0">
      <selection activeCell="B15" sqref="B15"/>
    </sheetView>
  </sheetViews>
  <sheetFormatPr defaultRowHeight="14.4" x14ac:dyDescent="0.3"/>
  <sheetData>
    <row r="1" spans="1:2" x14ac:dyDescent="0.3">
      <c r="A1" s="1" t="s">
        <v>70</v>
      </c>
      <c r="B1" s="1">
        <v>0.09</v>
      </c>
    </row>
    <row r="2" spans="1:2" x14ac:dyDescent="0.3">
      <c r="A2" s="1" t="s">
        <v>39</v>
      </c>
      <c r="B2" s="1">
        <v>12</v>
      </c>
    </row>
    <row r="3" spans="1:2" x14ac:dyDescent="0.3">
      <c r="A3" s="1" t="s">
        <v>71</v>
      </c>
      <c r="B3" s="42">
        <f>(1+B1/B2)^B2-1</f>
        <v>9.3806897670984268E-2</v>
      </c>
    </row>
    <row r="4" spans="1:2" x14ac:dyDescent="0.3">
      <c r="A4" s="1" t="s">
        <v>71</v>
      </c>
      <c r="B4" s="42">
        <f>EFFECT(B1,B2)</f>
        <v>9.3806897670984268E-2</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17"/>
  <sheetViews>
    <sheetView workbookViewId="0">
      <selection activeCell="B15" sqref="B15"/>
    </sheetView>
  </sheetViews>
  <sheetFormatPr defaultRowHeight="14.4" x14ac:dyDescent="0.3"/>
  <cols>
    <col min="1" max="1" width="17.33203125" bestFit="1" customWidth="1"/>
    <col min="2" max="2" width="10.88671875" bestFit="1" customWidth="1"/>
    <col min="3" max="3" width="12.33203125" bestFit="1" customWidth="1"/>
    <col min="4" max="4" width="13.109375" bestFit="1" customWidth="1"/>
    <col min="5" max="5" width="11.6640625" bestFit="1" customWidth="1"/>
    <col min="257" max="257" width="17.33203125" bestFit="1" customWidth="1"/>
    <col min="258" max="258" width="10.88671875" bestFit="1" customWidth="1"/>
    <col min="259" max="259" width="12.33203125" bestFit="1" customWidth="1"/>
    <col min="260" max="260" width="13.109375" bestFit="1" customWidth="1"/>
    <col min="261" max="261" width="11.6640625" bestFit="1" customWidth="1"/>
    <col min="513" max="513" width="17.33203125" bestFit="1" customWidth="1"/>
    <col min="514" max="514" width="10.88671875" bestFit="1" customWidth="1"/>
    <col min="515" max="515" width="12.33203125" bestFit="1" customWidth="1"/>
    <col min="516" max="516" width="13.109375" bestFit="1" customWidth="1"/>
    <col min="517" max="517" width="11.6640625" bestFit="1" customWidth="1"/>
    <col min="769" max="769" width="17.33203125" bestFit="1" customWidth="1"/>
    <col min="770" max="770" width="10.88671875" bestFit="1" customWidth="1"/>
    <col min="771" max="771" width="12.33203125" bestFit="1" customWidth="1"/>
    <col min="772" max="772" width="13.109375" bestFit="1" customWidth="1"/>
    <col min="773" max="773" width="11.6640625" bestFit="1" customWidth="1"/>
    <col min="1025" max="1025" width="17.33203125" bestFit="1" customWidth="1"/>
    <col min="1026" max="1026" width="10.88671875" bestFit="1" customWidth="1"/>
    <col min="1027" max="1027" width="12.33203125" bestFit="1" customWidth="1"/>
    <col min="1028" max="1028" width="13.109375" bestFit="1" customWidth="1"/>
    <col min="1029" max="1029" width="11.6640625" bestFit="1" customWidth="1"/>
    <col min="1281" max="1281" width="17.33203125" bestFit="1" customWidth="1"/>
    <col min="1282" max="1282" width="10.88671875" bestFit="1" customWidth="1"/>
    <col min="1283" max="1283" width="12.33203125" bestFit="1" customWidth="1"/>
    <col min="1284" max="1284" width="13.109375" bestFit="1" customWidth="1"/>
    <col min="1285" max="1285" width="11.6640625" bestFit="1" customWidth="1"/>
    <col min="1537" max="1537" width="17.33203125" bestFit="1" customWidth="1"/>
    <col min="1538" max="1538" width="10.88671875" bestFit="1" customWidth="1"/>
    <col min="1539" max="1539" width="12.33203125" bestFit="1" customWidth="1"/>
    <col min="1540" max="1540" width="13.109375" bestFit="1" customWidth="1"/>
    <col min="1541" max="1541" width="11.6640625" bestFit="1" customWidth="1"/>
    <col min="1793" max="1793" width="17.33203125" bestFit="1" customWidth="1"/>
    <col min="1794" max="1794" width="10.88671875" bestFit="1" customWidth="1"/>
    <col min="1795" max="1795" width="12.33203125" bestFit="1" customWidth="1"/>
    <col min="1796" max="1796" width="13.109375" bestFit="1" customWidth="1"/>
    <col min="1797" max="1797" width="11.6640625" bestFit="1" customWidth="1"/>
    <col min="2049" max="2049" width="17.33203125" bestFit="1" customWidth="1"/>
    <col min="2050" max="2050" width="10.88671875" bestFit="1" customWidth="1"/>
    <col min="2051" max="2051" width="12.33203125" bestFit="1" customWidth="1"/>
    <col min="2052" max="2052" width="13.109375" bestFit="1" customWidth="1"/>
    <col min="2053" max="2053" width="11.6640625" bestFit="1" customWidth="1"/>
    <col min="2305" max="2305" width="17.33203125" bestFit="1" customWidth="1"/>
    <col min="2306" max="2306" width="10.88671875" bestFit="1" customWidth="1"/>
    <col min="2307" max="2307" width="12.33203125" bestFit="1" customWidth="1"/>
    <col min="2308" max="2308" width="13.109375" bestFit="1" customWidth="1"/>
    <col min="2309" max="2309" width="11.6640625" bestFit="1" customWidth="1"/>
    <col min="2561" max="2561" width="17.33203125" bestFit="1" customWidth="1"/>
    <col min="2562" max="2562" width="10.88671875" bestFit="1" customWidth="1"/>
    <col min="2563" max="2563" width="12.33203125" bestFit="1" customWidth="1"/>
    <col min="2564" max="2564" width="13.109375" bestFit="1" customWidth="1"/>
    <col min="2565" max="2565" width="11.6640625" bestFit="1" customWidth="1"/>
    <col min="2817" max="2817" width="17.33203125" bestFit="1" customWidth="1"/>
    <col min="2818" max="2818" width="10.88671875" bestFit="1" customWidth="1"/>
    <col min="2819" max="2819" width="12.33203125" bestFit="1" customWidth="1"/>
    <col min="2820" max="2820" width="13.109375" bestFit="1" customWidth="1"/>
    <col min="2821" max="2821" width="11.6640625" bestFit="1" customWidth="1"/>
    <col min="3073" max="3073" width="17.33203125" bestFit="1" customWidth="1"/>
    <col min="3074" max="3074" width="10.88671875" bestFit="1" customWidth="1"/>
    <col min="3075" max="3075" width="12.33203125" bestFit="1" customWidth="1"/>
    <col min="3076" max="3076" width="13.109375" bestFit="1" customWidth="1"/>
    <col min="3077" max="3077" width="11.6640625" bestFit="1" customWidth="1"/>
    <col min="3329" max="3329" width="17.33203125" bestFit="1" customWidth="1"/>
    <col min="3330" max="3330" width="10.88671875" bestFit="1" customWidth="1"/>
    <col min="3331" max="3331" width="12.33203125" bestFit="1" customWidth="1"/>
    <col min="3332" max="3332" width="13.109375" bestFit="1" customWidth="1"/>
    <col min="3333" max="3333" width="11.6640625" bestFit="1" customWidth="1"/>
    <col min="3585" max="3585" width="17.33203125" bestFit="1" customWidth="1"/>
    <col min="3586" max="3586" width="10.88671875" bestFit="1" customWidth="1"/>
    <col min="3587" max="3587" width="12.33203125" bestFit="1" customWidth="1"/>
    <col min="3588" max="3588" width="13.109375" bestFit="1" customWidth="1"/>
    <col min="3589" max="3589" width="11.6640625" bestFit="1" customWidth="1"/>
    <col min="3841" max="3841" width="17.33203125" bestFit="1" customWidth="1"/>
    <col min="3842" max="3842" width="10.88671875" bestFit="1" customWidth="1"/>
    <col min="3843" max="3843" width="12.33203125" bestFit="1" customWidth="1"/>
    <col min="3844" max="3844" width="13.109375" bestFit="1" customWidth="1"/>
    <col min="3845" max="3845" width="11.6640625" bestFit="1" customWidth="1"/>
    <col min="4097" max="4097" width="17.33203125" bestFit="1" customWidth="1"/>
    <col min="4098" max="4098" width="10.88671875" bestFit="1" customWidth="1"/>
    <col min="4099" max="4099" width="12.33203125" bestFit="1" customWidth="1"/>
    <col min="4100" max="4100" width="13.109375" bestFit="1" customWidth="1"/>
    <col min="4101" max="4101" width="11.6640625" bestFit="1" customWidth="1"/>
    <col min="4353" max="4353" width="17.33203125" bestFit="1" customWidth="1"/>
    <col min="4354" max="4354" width="10.88671875" bestFit="1" customWidth="1"/>
    <col min="4355" max="4355" width="12.33203125" bestFit="1" customWidth="1"/>
    <col min="4356" max="4356" width="13.109375" bestFit="1" customWidth="1"/>
    <col min="4357" max="4357" width="11.6640625" bestFit="1" customWidth="1"/>
    <col min="4609" max="4609" width="17.33203125" bestFit="1" customWidth="1"/>
    <col min="4610" max="4610" width="10.88671875" bestFit="1" customWidth="1"/>
    <col min="4611" max="4611" width="12.33203125" bestFit="1" customWidth="1"/>
    <col min="4612" max="4612" width="13.109375" bestFit="1" customWidth="1"/>
    <col min="4613" max="4613" width="11.6640625" bestFit="1" customWidth="1"/>
    <col min="4865" max="4865" width="17.33203125" bestFit="1" customWidth="1"/>
    <col min="4866" max="4866" width="10.88671875" bestFit="1" customWidth="1"/>
    <col min="4867" max="4867" width="12.33203125" bestFit="1" customWidth="1"/>
    <col min="4868" max="4868" width="13.109375" bestFit="1" customWidth="1"/>
    <col min="4869" max="4869" width="11.6640625" bestFit="1" customWidth="1"/>
    <col min="5121" max="5121" width="17.33203125" bestFit="1" customWidth="1"/>
    <col min="5122" max="5122" width="10.88671875" bestFit="1" customWidth="1"/>
    <col min="5123" max="5123" width="12.33203125" bestFit="1" customWidth="1"/>
    <col min="5124" max="5124" width="13.109375" bestFit="1" customWidth="1"/>
    <col min="5125" max="5125" width="11.6640625" bestFit="1" customWidth="1"/>
    <col min="5377" max="5377" width="17.33203125" bestFit="1" customWidth="1"/>
    <col min="5378" max="5378" width="10.88671875" bestFit="1" customWidth="1"/>
    <col min="5379" max="5379" width="12.33203125" bestFit="1" customWidth="1"/>
    <col min="5380" max="5380" width="13.109375" bestFit="1" customWidth="1"/>
    <col min="5381" max="5381" width="11.6640625" bestFit="1" customWidth="1"/>
    <col min="5633" max="5633" width="17.33203125" bestFit="1" customWidth="1"/>
    <col min="5634" max="5634" width="10.88671875" bestFit="1" customWidth="1"/>
    <col min="5635" max="5635" width="12.33203125" bestFit="1" customWidth="1"/>
    <col min="5636" max="5636" width="13.109375" bestFit="1" customWidth="1"/>
    <col min="5637" max="5637" width="11.6640625" bestFit="1" customWidth="1"/>
    <col min="5889" max="5889" width="17.33203125" bestFit="1" customWidth="1"/>
    <col min="5890" max="5890" width="10.88671875" bestFit="1" customWidth="1"/>
    <col min="5891" max="5891" width="12.33203125" bestFit="1" customWidth="1"/>
    <col min="5892" max="5892" width="13.109375" bestFit="1" customWidth="1"/>
    <col min="5893" max="5893" width="11.6640625" bestFit="1" customWidth="1"/>
    <col min="6145" max="6145" width="17.33203125" bestFit="1" customWidth="1"/>
    <col min="6146" max="6146" width="10.88671875" bestFit="1" customWidth="1"/>
    <col min="6147" max="6147" width="12.33203125" bestFit="1" customWidth="1"/>
    <col min="6148" max="6148" width="13.109375" bestFit="1" customWidth="1"/>
    <col min="6149" max="6149" width="11.6640625" bestFit="1" customWidth="1"/>
    <col min="6401" max="6401" width="17.33203125" bestFit="1" customWidth="1"/>
    <col min="6402" max="6402" width="10.88671875" bestFit="1" customWidth="1"/>
    <col min="6403" max="6403" width="12.33203125" bestFit="1" customWidth="1"/>
    <col min="6404" max="6404" width="13.109375" bestFit="1" customWidth="1"/>
    <col min="6405" max="6405" width="11.6640625" bestFit="1" customWidth="1"/>
    <col min="6657" max="6657" width="17.33203125" bestFit="1" customWidth="1"/>
    <col min="6658" max="6658" width="10.88671875" bestFit="1" customWidth="1"/>
    <col min="6659" max="6659" width="12.33203125" bestFit="1" customWidth="1"/>
    <col min="6660" max="6660" width="13.109375" bestFit="1" customWidth="1"/>
    <col min="6661" max="6661" width="11.6640625" bestFit="1" customWidth="1"/>
    <col min="6913" max="6913" width="17.33203125" bestFit="1" customWidth="1"/>
    <col min="6914" max="6914" width="10.88671875" bestFit="1" customWidth="1"/>
    <col min="6915" max="6915" width="12.33203125" bestFit="1" customWidth="1"/>
    <col min="6916" max="6916" width="13.109375" bestFit="1" customWidth="1"/>
    <col min="6917" max="6917" width="11.6640625" bestFit="1" customWidth="1"/>
    <col min="7169" max="7169" width="17.33203125" bestFit="1" customWidth="1"/>
    <col min="7170" max="7170" width="10.88671875" bestFit="1" customWidth="1"/>
    <col min="7171" max="7171" width="12.33203125" bestFit="1" customWidth="1"/>
    <col min="7172" max="7172" width="13.109375" bestFit="1" customWidth="1"/>
    <col min="7173" max="7173" width="11.6640625" bestFit="1" customWidth="1"/>
    <col min="7425" max="7425" width="17.33203125" bestFit="1" customWidth="1"/>
    <col min="7426" max="7426" width="10.88671875" bestFit="1" customWidth="1"/>
    <col min="7427" max="7427" width="12.33203125" bestFit="1" customWidth="1"/>
    <col min="7428" max="7428" width="13.109375" bestFit="1" customWidth="1"/>
    <col min="7429" max="7429" width="11.6640625" bestFit="1" customWidth="1"/>
    <col min="7681" max="7681" width="17.33203125" bestFit="1" customWidth="1"/>
    <col min="7682" max="7682" width="10.88671875" bestFit="1" customWidth="1"/>
    <col min="7683" max="7683" width="12.33203125" bestFit="1" customWidth="1"/>
    <col min="7684" max="7684" width="13.109375" bestFit="1" customWidth="1"/>
    <col min="7685" max="7685" width="11.6640625" bestFit="1" customWidth="1"/>
    <col min="7937" max="7937" width="17.33203125" bestFit="1" customWidth="1"/>
    <col min="7938" max="7938" width="10.88671875" bestFit="1" customWidth="1"/>
    <col min="7939" max="7939" width="12.33203125" bestFit="1" customWidth="1"/>
    <col min="7940" max="7940" width="13.109375" bestFit="1" customWidth="1"/>
    <col min="7941" max="7941" width="11.6640625" bestFit="1" customWidth="1"/>
    <col min="8193" max="8193" width="17.33203125" bestFit="1" customWidth="1"/>
    <col min="8194" max="8194" width="10.88671875" bestFit="1" customWidth="1"/>
    <col min="8195" max="8195" width="12.33203125" bestFit="1" customWidth="1"/>
    <col min="8196" max="8196" width="13.109375" bestFit="1" customWidth="1"/>
    <col min="8197" max="8197" width="11.6640625" bestFit="1" customWidth="1"/>
    <col min="8449" max="8449" width="17.33203125" bestFit="1" customWidth="1"/>
    <col min="8450" max="8450" width="10.88671875" bestFit="1" customWidth="1"/>
    <col min="8451" max="8451" width="12.33203125" bestFit="1" customWidth="1"/>
    <col min="8452" max="8452" width="13.109375" bestFit="1" customWidth="1"/>
    <col min="8453" max="8453" width="11.6640625" bestFit="1" customWidth="1"/>
    <col min="8705" max="8705" width="17.33203125" bestFit="1" customWidth="1"/>
    <col min="8706" max="8706" width="10.88671875" bestFit="1" customWidth="1"/>
    <col min="8707" max="8707" width="12.33203125" bestFit="1" customWidth="1"/>
    <col min="8708" max="8708" width="13.109375" bestFit="1" customWidth="1"/>
    <col min="8709" max="8709" width="11.6640625" bestFit="1" customWidth="1"/>
    <col min="8961" max="8961" width="17.33203125" bestFit="1" customWidth="1"/>
    <col min="8962" max="8962" width="10.88671875" bestFit="1" customWidth="1"/>
    <col min="8963" max="8963" width="12.33203125" bestFit="1" customWidth="1"/>
    <col min="8964" max="8964" width="13.109375" bestFit="1" customWidth="1"/>
    <col min="8965" max="8965" width="11.6640625" bestFit="1" customWidth="1"/>
    <col min="9217" max="9217" width="17.33203125" bestFit="1" customWidth="1"/>
    <col min="9218" max="9218" width="10.88671875" bestFit="1" customWidth="1"/>
    <col min="9219" max="9219" width="12.33203125" bestFit="1" customWidth="1"/>
    <col min="9220" max="9220" width="13.109375" bestFit="1" customWidth="1"/>
    <col min="9221" max="9221" width="11.6640625" bestFit="1" customWidth="1"/>
    <col min="9473" max="9473" width="17.33203125" bestFit="1" customWidth="1"/>
    <col min="9474" max="9474" width="10.88671875" bestFit="1" customWidth="1"/>
    <col min="9475" max="9475" width="12.33203125" bestFit="1" customWidth="1"/>
    <col min="9476" max="9476" width="13.109375" bestFit="1" customWidth="1"/>
    <col min="9477" max="9477" width="11.6640625" bestFit="1" customWidth="1"/>
    <col min="9729" max="9729" width="17.33203125" bestFit="1" customWidth="1"/>
    <col min="9730" max="9730" width="10.88671875" bestFit="1" customWidth="1"/>
    <col min="9731" max="9731" width="12.33203125" bestFit="1" customWidth="1"/>
    <col min="9732" max="9732" width="13.109375" bestFit="1" customWidth="1"/>
    <col min="9733" max="9733" width="11.6640625" bestFit="1" customWidth="1"/>
    <col min="9985" max="9985" width="17.33203125" bestFit="1" customWidth="1"/>
    <col min="9986" max="9986" width="10.88671875" bestFit="1" customWidth="1"/>
    <col min="9987" max="9987" width="12.33203125" bestFit="1" customWidth="1"/>
    <col min="9988" max="9988" width="13.109375" bestFit="1" customWidth="1"/>
    <col min="9989" max="9989" width="11.6640625" bestFit="1" customWidth="1"/>
    <col min="10241" max="10241" width="17.33203125" bestFit="1" customWidth="1"/>
    <col min="10242" max="10242" width="10.88671875" bestFit="1" customWidth="1"/>
    <col min="10243" max="10243" width="12.33203125" bestFit="1" customWidth="1"/>
    <col min="10244" max="10244" width="13.109375" bestFit="1" customWidth="1"/>
    <col min="10245" max="10245" width="11.6640625" bestFit="1" customWidth="1"/>
    <col min="10497" max="10497" width="17.33203125" bestFit="1" customWidth="1"/>
    <col min="10498" max="10498" width="10.88671875" bestFit="1" customWidth="1"/>
    <col min="10499" max="10499" width="12.33203125" bestFit="1" customWidth="1"/>
    <col min="10500" max="10500" width="13.109375" bestFit="1" customWidth="1"/>
    <col min="10501" max="10501" width="11.6640625" bestFit="1" customWidth="1"/>
    <col min="10753" max="10753" width="17.33203125" bestFit="1" customWidth="1"/>
    <col min="10754" max="10754" width="10.88671875" bestFit="1" customWidth="1"/>
    <col min="10755" max="10755" width="12.33203125" bestFit="1" customWidth="1"/>
    <col min="10756" max="10756" width="13.109375" bestFit="1" customWidth="1"/>
    <col min="10757" max="10757" width="11.6640625" bestFit="1" customWidth="1"/>
    <col min="11009" max="11009" width="17.33203125" bestFit="1" customWidth="1"/>
    <col min="11010" max="11010" width="10.88671875" bestFit="1" customWidth="1"/>
    <col min="11011" max="11011" width="12.33203125" bestFit="1" customWidth="1"/>
    <col min="11012" max="11012" width="13.109375" bestFit="1" customWidth="1"/>
    <col min="11013" max="11013" width="11.6640625" bestFit="1" customWidth="1"/>
    <col min="11265" max="11265" width="17.33203125" bestFit="1" customWidth="1"/>
    <col min="11266" max="11266" width="10.88671875" bestFit="1" customWidth="1"/>
    <col min="11267" max="11267" width="12.33203125" bestFit="1" customWidth="1"/>
    <col min="11268" max="11268" width="13.109375" bestFit="1" customWidth="1"/>
    <col min="11269" max="11269" width="11.6640625" bestFit="1" customWidth="1"/>
    <col min="11521" max="11521" width="17.33203125" bestFit="1" customWidth="1"/>
    <col min="11522" max="11522" width="10.88671875" bestFit="1" customWidth="1"/>
    <col min="11523" max="11523" width="12.33203125" bestFit="1" customWidth="1"/>
    <col min="11524" max="11524" width="13.109375" bestFit="1" customWidth="1"/>
    <col min="11525" max="11525" width="11.6640625" bestFit="1" customWidth="1"/>
    <col min="11777" max="11777" width="17.33203125" bestFit="1" customWidth="1"/>
    <col min="11778" max="11778" width="10.88671875" bestFit="1" customWidth="1"/>
    <col min="11779" max="11779" width="12.33203125" bestFit="1" customWidth="1"/>
    <col min="11780" max="11780" width="13.109375" bestFit="1" customWidth="1"/>
    <col min="11781" max="11781" width="11.6640625" bestFit="1" customWidth="1"/>
    <col min="12033" max="12033" width="17.33203125" bestFit="1" customWidth="1"/>
    <col min="12034" max="12034" width="10.88671875" bestFit="1" customWidth="1"/>
    <col min="12035" max="12035" width="12.33203125" bestFit="1" customWidth="1"/>
    <col min="12036" max="12036" width="13.109375" bestFit="1" customWidth="1"/>
    <col min="12037" max="12037" width="11.6640625" bestFit="1" customWidth="1"/>
    <col min="12289" max="12289" width="17.33203125" bestFit="1" customWidth="1"/>
    <col min="12290" max="12290" width="10.88671875" bestFit="1" customWidth="1"/>
    <col min="12291" max="12291" width="12.33203125" bestFit="1" customWidth="1"/>
    <col min="12292" max="12292" width="13.109375" bestFit="1" customWidth="1"/>
    <col min="12293" max="12293" width="11.6640625" bestFit="1" customWidth="1"/>
    <col min="12545" max="12545" width="17.33203125" bestFit="1" customWidth="1"/>
    <col min="12546" max="12546" width="10.88671875" bestFit="1" customWidth="1"/>
    <col min="12547" max="12547" width="12.33203125" bestFit="1" customWidth="1"/>
    <col min="12548" max="12548" width="13.109375" bestFit="1" customWidth="1"/>
    <col min="12549" max="12549" width="11.6640625" bestFit="1" customWidth="1"/>
    <col min="12801" max="12801" width="17.33203125" bestFit="1" customWidth="1"/>
    <col min="12802" max="12802" width="10.88671875" bestFit="1" customWidth="1"/>
    <col min="12803" max="12803" width="12.33203125" bestFit="1" customWidth="1"/>
    <col min="12804" max="12804" width="13.109375" bestFit="1" customWidth="1"/>
    <col min="12805" max="12805" width="11.6640625" bestFit="1" customWidth="1"/>
    <col min="13057" max="13057" width="17.33203125" bestFit="1" customWidth="1"/>
    <col min="13058" max="13058" width="10.88671875" bestFit="1" customWidth="1"/>
    <col min="13059" max="13059" width="12.33203125" bestFit="1" customWidth="1"/>
    <col min="13060" max="13060" width="13.109375" bestFit="1" customWidth="1"/>
    <col min="13061" max="13061" width="11.6640625" bestFit="1" customWidth="1"/>
    <col min="13313" max="13313" width="17.33203125" bestFit="1" customWidth="1"/>
    <col min="13314" max="13314" width="10.88671875" bestFit="1" customWidth="1"/>
    <col min="13315" max="13315" width="12.33203125" bestFit="1" customWidth="1"/>
    <col min="13316" max="13316" width="13.109375" bestFit="1" customWidth="1"/>
    <col min="13317" max="13317" width="11.6640625" bestFit="1" customWidth="1"/>
    <col min="13569" max="13569" width="17.33203125" bestFit="1" customWidth="1"/>
    <col min="13570" max="13570" width="10.88671875" bestFit="1" customWidth="1"/>
    <col min="13571" max="13571" width="12.33203125" bestFit="1" customWidth="1"/>
    <col min="13572" max="13572" width="13.109375" bestFit="1" customWidth="1"/>
    <col min="13573" max="13573" width="11.6640625" bestFit="1" customWidth="1"/>
    <col min="13825" max="13825" width="17.33203125" bestFit="1" customWidth="1"/>
    <col min="13826" max="13826" width="10.88671875" bestFit="1" customWidth="1"/>
    <col min="13827" max="13827" width="12.33203125" bestFit="1" customWidth="1"/>
    <col min="13828" max="13828" width="13.109375" bestFit="1" customWidth="1"/>
    <col min="13829" max="13829" width="11.6640625" bestFit="1" customWidth="1"/>
    <col min="14081" max="14081" width="17.33203125" bestFit="1" customWidth="1"/>
    <col min="14082" max="14082" width="10.88671875" bestFit="1" customWidth="1"/>
    <col min="14083" max="14083" width="12.33203125" bestFit="1" customWidth="1"/>
    <col min="14084" max="14084" width="13.109375" bestFit="1" customWidth="1"/>
    <col min="14085" max="14085" width="11.6640625" bestFit="1" customWidth="1"/>
    <col min="14337" max="14337" width="17.33203125" bestFit="1" customWidth="1"/>
    <col min="14338" max="14338" width="10.88671875" bestFit="1" customWidth="1"/>
    <col min="14339" max="14339" width="12.33203125" bestFit="1" customWidth="1"/>
    <col min="14340" max="14340" width="13.109375" bestFit="1" customWidth="1"/>
    <col min="14341" max="14341" width="11.6640625" bestFit="1" customWidth="1"/>
    <col min="14593" max="14593" width="17.33203125" bestFit="1" customWidth="1"/>
    <col min="14594" max="14594" width="10.88671875" bestFit="1" customWidth="1"/>
    <col min="14595" max="14595" width="12.33203125" bestFit="1" customWidth="1"/>
    <col min="14596" max="14596" width="13.109375" bestFit="1" customWidth="1"/>
    <col min="14597" max="14597" width="11.6640625" bestFit="1" customWidth="1"/>
    <col min="14849" max="14849" width="17.33203125" bestFit="1" customWidth="1"/>
    <col min="14850" max="14850" width="10.88671875" bestFit="1" customWidth="1"/>
    <col min="14851" max="14851" width="12.33203125" bestFit="1" customWidth="1"/>
    <col min="14852" max="14852" width="13.109375" bestFit="1" customWidth="1"/>
    <col min="14853" max="14853" width="11.6640625" bestFit="1" customWidth="1"/>
    <col min="15105" max="15105" width="17.33203125" bestFit="1" customWidth="1"/>
    <col min="15106" max="15106" width="10.88671875" bestFit="1" customWidth="1"/>
    <col min="15107" max="15107" width="12.33203125" bestFit="1" customWidth="1"/>
    <col min="15108" max="15108" width="13.109375" bestFit="1" customWidth="1"/>
    <col min="15109" max="15109" width="11.6640625" bestFit="1" customWidth="1"/>
    <col min="15361" max="15361" width="17.33203125" bestFit="1" customWidth="1"/>
    <col min="15362" max="15362" width="10.88671875" bestFit="1" customWidth="1"/>
    <col min="15363" max="15363" width="12.33203125" bestFit="1" customWidth="1"/>
    <col min="15364" max="15364" width="13.109375" bestFit="1" customWidth="1"/>
    <col min="15365" max="15365" width="11.6640625" bestFit="1" customWidth="1"/>
    <col min="15617" max="15617" width="17.33203125" bestFit="1" customWidth="1"/>
    <col min="15618" max="15618" width="10.88671875" bestFit="1" customWidth="1"/>
    <col min="15619" max="15619" width="12.33203125" bestFit="1" customWidth="1"/>
    <col min="15620" max="15620" width="13.109375" bestFit="1" customWidth="1"/>
    <col min="15621" max="15621" width="11.6640625" bestFit="1" customWidth="1"/>
    <col min="15873" max="15873" width="17.33203125" bestFit="1" customWidth="1"/>
    <col min="15874" max="15874" width="10.88671875" bestFit="1" customWidth="1"/>
    <col min="15875" max="15875" width="12.33203125" bestFit="1" customWidth="1"/>
    <col min="15876" max="15876" width="13.109375" bestFit="1" customWidth="1"/>
    <col min="15877" max="15877" width="11.6640625" bestFit="1" customWidth="1"/>
    <col min="16129" max="16129" width="17.33203125" bestFit="1" customWidth="1"/>
    <col min="16130" max="16130" width="10.88671875" bestFit="1" customWidth="1"/>
    <col min="16131" max="16131" width="12.33203125" bestFit="1" customWidth="1"/>
    <col min="16132" max="16132" width="13.109375" bestFit="1" customWidth="1"/>
    <col min="16133" max="16133" width="11.6640625" bestFit="1" customWidth="1"/>
  </cols>
  <sheetData>
    <row r="1" spans="1:5" x14ac:dyDescent="0.3">
      <c r="A1" s="103" t="s">
        <v>164</v>
      </c>
      <c r="B1" s="21">
        <v>10000</v>
      </c>
    </row>
    <row r="2" spans="1:5" x14ac:dyDescent="0.3">
      <c r="A2" s="103" t="s">
        <v>70</v>
      </c>
      <c r="B2" s="1">
        <v>0.14000000000000001</v>
      </c>
    </row>
    <row r="3" spans="1:5" x14ac:dyDescent="0.3">
      <c r="A3" s="103" t="s">
        <v>77</v>
      </c>
      <c r="B3" s="1">
        <v>5</v>
      </c>
    </row>
    <row r="4" spans="1:5" x14ac:dyDescent="0.3">
      <c r="A4" s="103" t="s">
        <v>39</v>
      </c>
      <c r="B4" s="1">
        <v>1</v>
      </c>
    </row>
    <row r="5" spans="1:5" x14ac:dyDescent="0.3">
      <c r="A5" s="103" t="s">
        <v>96</v>
      </c>
      <c r="B5" s="1">
        <f>B2/B4</f>
        <v>0.14000000000000001</v>
      </c>
    </row>
    <row r="6" spans="1:5" x14ac:dyDescent="0.3">
      <c r="A6" s="103" t="s">
        <v>165</v>
      </c>
      <c r="B6" s="1">
        <f>B4*B3</f>
        <v>5</v>
      </c>
    </row>
    <row r="7" spans="1:5" x14ac:dyDescent="0.3">
      <c r="A7" s="103" t="s">
        <v>97</v>
      </c>
      <c r="B7" s="104"/>
    </row>
    <row r="9" spans="1:5" x14ac:dyDescent="0.3">
      <c r="A9" s="103" t="s">
        <v>25</v>
      </c>
      <c r="B9" s="103" t="s">
        <v>145</v>
      </c>
      <c r="C9" s="103" t="s">
        <v>133</v>
      </c>
      <c r="D9" s="103" t="s">
        <v>134</v>
      </c>
      <c r="E9" s="103" t="s">
        <v>146</v>
      </c>
    </row>
    <row r="10" spans="1:5" x14ac:dyDescent="0.3">
      <c r="A10" s="1">
        <v>0</v>
      </c>
      <c r="B10" s="1"/>
      <c r="C10" s="1"/>
      <c r="D10" s="1"/>
      <c r="E10" s="105"/>
    </row>
    <row r="11" spans="1:5" x14ac:dyDescent="0.3">
      <c r="A11" s="1">
        <v>1</v>
      </c>
      <c r="B11" s="105"/>
      <c r="C11" s="105"/>
      <c r="D11" s="105"/>
      <c r="E11" s="105"/>
    </row>
    <row r="12" spans="1:5" x14ac:dyDescent="0.3">
      <c r="A12" s="1">
        <v>2</v>
      </c>
      <c r="B12" s="105"/>
      <c r="C12" s="105"/>
      <c r="D12" s="105"/>
      <c r="E12" s="105"/>
    </row>
    <row r="13" spans="1:5" x14ac:dyDescent="0.3">
      <c r="A13" s="1">
        <v>3</v>
      </c>
      <c r="B13" s="105"/>
      <c r="C13" s="105"/>
      <c r="D13" s="105"/>
      <c r="E13" s="105"/>
    </row>
    <row r="14" spans="1:5" x14ac:dyDescent="0.3">
      <c r="A14" s="1">
        <v>4</v>
      </c>
      <c r="B14" s="105"/>
      <c r="C14" s="105"/>
      <c r="D14" s="105"/>
      <c r="E14" s="105"/>
    </row>
    <row r="15" spans="1:5" ht="15" thickBot="1" x14ac:dyDescent="0.35">
      <c r="A15" s="28">
        <v>5</v>
      </c>
      <c r="B15" s="106"/>
      <c r="C15" s="106"/>
      <c r="D15" s="106"/>
      <c r="E15" s="106"/>
    </row>
    <row r="16" spans="1:5" ht="15" thickBot="1" x14ac:dyDescent="0.35">
      <c r="A16" s="107" t="s">
        <v>46</v>
      </c>
      <c r="B16" s="108"/>
      <c r="C16" s="108"/>
      <c r="D16" s="109"/>
      <c r="E16" s="107"/>
    </row>
    <row r="17" ht="15" thickTop="1" x14ac:dyDescent="0.3"/>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7"/>
  <sheetViews>
    <sheetView workbookViewId="0">
      <selection activeCell="B15" sqref="B15"/>
    </sheetView>
  </sheetViews>
  <sheetFormatPr defaultRowHeight="14.4" x14ac:dyDescent="0.3"/>
  <cols>
    <col min="1" max="1" width="17.33203125" bestFit="1" customWidth="1"/>
    <col min="2" max="2" width="10.88671875" bestFit="1" customWidth="1"/>
    <col min="3" max="3" width="12.33203125" bestFit="1" customWidth="1"/>
    <col min="4" max="4" width="13.109375" bestFit="1" customWidth="1"/>
    <col min="5" max="5" width="11.6640625" bestFit="1" customWidth="1"/>
    <col min="257" max="257" width="17.33203125" bestFit="1" customWidth="1"/>
    <col min="258" max="258" width="10.88671875" bestFit="1" customWidth="1"/>
    <col min="259" max="259" width="12.33203125" bestFit="1" customWidth="1"/>
    <col min="260" max="260" width="13.109375" bestFit="1" customWidth="1"/>
    <col min="261" max="261" width="11.6640625" bestFit="1" customWidth="1"/>
    <col min="513" max="513" width="17.33203125" bestFit="1" customWidth="1"/>
    <col min="514" max="514" width="10.88671875" bestFit="1" customWidth="1"/>
    <col min="515" max="515" width="12.33203125" bestFit="1" customWidth="1"/>
    <col min="516" max="516" width="13.109375" bestFit="1" customWidth="1"/>
    <col min="517" max="517" width="11.6640625" bestFit="1" customWidth="1"/>
    <col min="769" max="769" width="17.33203125" bestFit="1" customWidth="1"/>
    <col min="770" max="770" width="10.88671875" bestFit="1" customWidth="1"/>
    <col min="771" max="771" width="12.33203125" bestFit="1" customWidth="1"/>
    <col min="772" max="772" width="13.109375" bestFit="1" customWidth="1"/>
    <col min="773" max="773" width="11.6640625" bestFit="1" customWidth="1"/>
    <col min="1025" max="1025" width="17.33203125" bestFit="1" customWidth="1"/>
    <col min="1026" max="1026" width="10.88671875" bestFit="1" customWidth="1"/>
    <col min="1027" max="1027" width="12.33203125" bestFit="1" customWidth="1"/>
    <col min="1028" max="1028" width="13.109375" bestFit="1" customWidth="1"/>
    <col min="1029" max="1029" width="11.6640625" bestFit="1" customWidth="1"/>
    <col min="1281" max="1281" width="17.33203125" bestFit="1" customWidth="1"/>
    <col min="1282" max="1282" width="10.88671875" bestFit="1" customWidth="1"/>
    <col min="1283" max="1283" width="12.33203125" bestFit="1" customWidth="1"/>
    <col min="1284" max="1284" width="13.109375" bestFit="1" customWidth="1"/>
    <col min="1285" max="1285" width="11.6640625" bestFit="1" customWidth="1"/>
    <col min="1537" max="1537" width="17.33203125" bestFit="1" customWidth="1"/>
    <col min="1538" max="1538" width="10.88671875" bestFit="1" customWidth="1"/>
    <col min="1539" max="1539" width="12.33203125" bestFit="1" customWidth="1"/>
    <col min="1540" max="1540" width="13.109375" bestFit="1" customWidth="1"/>
    <col min="1541" max="1541" width="11.6640625" bestFit="1" customWidth="1"/>
    <col min="1793" max="1793" width="17.33203125" bestFit="1" customWidth="1"/>
    <col min="1794" max="1794" width="10.88671875" bestFit="1" customWidth="1"/>
    <col min="1795" max="1795" width="12.33203125" bestFit="1" customWidth="1"/>
    <col min="1796" max="1796" width="13.109375" bestFit="1" customWidth="1"/>
    <col min="1797" max="1797" width="11.6640625" bestFit="1" customWidth="1"/>
    <col min="2049" max="2049" width="17.33203125" bestFit="1" customWidth="1"/>
    <col min="2050" max="2050" width="10.88671875" bestFit="1" customWidth="1"/>
    <col min="2051" max="2051" width="12.33203125" bestFit="1" customWidth="1"/>
    <col min="2052" max="2052" width="13.109375" bestFit="1" customWidth="1"/>
    <col min="2053" max="2053" width="11.6640625" bestFit="1" customWidth="1"/>
    <col min="2305" max="2305" width="17.33203125" bestFit="1" customWidth="1"/>
    <col min="2306" max="2306" width="10.88671875" bestFit="1" customWidth="1"/>
    <col min="2307" max="2307" width="12.33203125" bestFit="1" customWidth="1"/>
    <col min="2308" max="2308" width="13.109375" bestFit="1" customWidth="1"/>
    <col min="2309" max="2309" width="11.6640625" bestFit="1" customWidth="1"/>
    <col min="2561" max="2561" width="17.33203125" bestFit="1" customWidth="1"/>
    <col min="2562" max="2562" width="10.88671875" bestFit="1" customWidth="1"/>
    <col min="2563" max="2563" width="12.33203125" bestFit="1" customWidth="1"/>
    <col min="2564" max="2564" width="13.109375" bestFit="1" customWidth="1"/>
    <col min="2565" max="2565" width="11.6640625" bestFit="1" customWidth="1"/>
    <col min="2817" max="2817" width="17.33203125" bestFit="1" customWidth="1"/>
    <col min="2818" max="2818" width="10.88671875" bestFit="1" customWidth="1"/>
    <col min="2819" max="2819" width="12.33203125" bestFit="1" customWidth="1"/>
    <col min="2820" max="2820" width="13.109375" bestFit="1" customWidth="1"/>
    <col min="2821" max="2821" width="11.6640625" bestFit="1" customWidth="1"/>
    <col min="3073" max="3073" width="17.33203125" bestFit="1" customWidth="1"/>
    <col min="3074" max="3074" width="10.88671875" bestFit="1" customWidth="1"/>
    <col min="3075" max="3075" width="12.33203125" bestFit="1" customWidth="1"/>
    <col min="3076" max="3076" width="13.109375" bestFit="1" customWidth="1"/>
    <col min="3077" max="3077" width="11.6640625" bestFit="1" customWidth="1"/>
    <col min="3329" max="3329" width="17.33203125" bestFit="1" customWidth="1"/>
    <col min="3330" max="3330" width="10.88671875" bestFit="1" customWidth="1"/>
    <col min="3331" max="3331" width="12.33203125" bestFit="1" customWidth="1"/>
    <col min="3332" max="3332" width="13.109375" bestFit="1" customWidth="1"/>
    <col min="3333" max="3333" width="11.6640625" bestFit="1" customWidth="1"/>
    <col min="3585" max="3585" width="17.33203125" bestFit="1" customWidth="1"/>
    <col min="3586" max="3586" width="10.88671875" bestFit="1" customWidth="1"/>
    <col min="3587" max="3587" width="12.33203125" bestFit="1" customWidth="1"/>
    <col min="3588" max="3588" width="13.109375" bestFit="1" customWidth="1"/>
    <col min="3589" max="3589" width="11.6640625" bestFit="1" customWidth="1"/>
    <col min="3841" max="3841" width="17.33203125" bestFit="1" customWidth="1"/>
    <col min="3842" max="3842" width="10.88671875" bestFit="1" customWidth="1"/>
    <col min="3843" max="3843" width="12.33203125" bestFit="1" customWidth="1"/>
    <col min="3844" max="3844" width="13.109375" bestFit="1" customWidth="1"/>
    <col min="3845" max="3845" width="11.6640625" bestFit="1" customWidth="1"/>
    <col min="4097" max="4097" width="17.33203125" bestFit="1" customWidth="1"/>
    <col min="4098" max="4098" width="10.88671875" bestFit="1" customWidth="1"/>
    <col min="4099" max="4099" width="12.33203125" bestFit="1" customWidth="1"/>
    <col min="4100" max="4100" width="13.109375" bestFit="1" customWidth="1"/>
    <col min="4101" max="4101" width="11.6640625" bestFit="1" customWidth="1"/>
    <col min="4353" max="4353" width="17.33203125" bestFit="1" customWidth="1"/>
    <col min="4354" max="4354" width="10.88671875" bestFit="1" customWidth="1"/>
    <col min="4355" max="4355" width="12.33203125" bestFit="1" customWidth="1"/>
    <col min="4356" max="4356" width="13.109375" bestFit="1" customWidth="1"/>
    <col min="4357" max="4357" width="11.6640625" bestFit="1" customWidth="1"/>
    <col min="4609" max="4609" width="17.33203125" bestFit="1" customWidth="1"/>
    <col min="4610" max="4610" width="10.88671875" bestFit="1" customWidth="1"/>
    <col min="4611" max="4611" width="12.33203125" bestFit="1" customWidth="1"/>
    <col min="4612" max="4612" width="13.109375" bestFit="1" customWidth="1"/>
    <col min="4613" max="4613" width="11.6640625" bestFit="1" customWidth="1"/>
    <col min="4865" max="4865" width="17.33203125" bestFit="1" customWidth="1"/>
    <col min="4866" max="4866" width="10.88671875" bestFit="1" customWidth="1"/>
    <col min="4867" max="4867" width="12.33203125" bestFit="1" customWidth="1"/>
    <col min="4868" max="4868" width="13.109375" bestFit="1" customWidth="1"/>
    <col min="4869" max="4869" width="11.6640625" bestFit="1" customWidth="1"/>
    <col min="5121" max="5121" width="17.33203125" bestFit="1" customWidth="1"/>
    <col min="5122" max="5122" width="10.88671875" bestFit="1" customWidth="1"/>
    <col min="5123" max="5123" width="12.33203125" bestFit="1" customWidth="1"/>
    <col min="5124" max="5124" width="13.109375" bestFit="1" customWidth="1"/>
    <col min="5125" max="5125" width="11.6640625" bestFit="1" customWidth="1"/>
    <col min="5377" max="5377" width="17.33203125" bestFit="1" customWidth="1"/>
    <col min="5378" max="5378" width="10.88671875" bestFit="1" customWidth="1"/>
    <col min="5379" max="5379" width="12.33203125" bestFit="1" customWidth="1"/>
    <col min="5380" max="5380" width="13.109375" bestFit="1" customWidth="1"/>
    <col min="5381" max="5381" width="11.6640625" bestFit="1" customWidth="1"/>
    <col min="5633" max="5633" width="17.33203125" bestFit="1" customWidth="1"/>
    <col min="5634" max="5634" width="10.88671875" bestFit="1" customWidth="1"/>
    <col min="5635" max="5635" width="12.33203125" bestFit="1" customWidth="1"/>
    <col min="5636" max="5636" width="13.109375" bestFit="1" customWidth="1"/>
    <col min="5637" max="5637" width="11.6640625" bestFit="1" customWidth="1"/>
    <col min="5889" max="5889" width="17.33203125" bestFit="1" customWidth="1"/>
    <col min="5890" max="5890" width="10.88671875" bestFit="1" customWidth="1"/>
    <col min="5891" max="5891" width="12.33203125" bestFit="1" customWidth="1"/>
    <col min="5892" max="5892" width="13.109375" bestFit="1" customWidth="1"/>
    <col min="5893" max="5893" width="11.6640625" bestFit="1" customWidth="1"/>
    <col min="6145" max="6145" width="17.33203125" bestFit="1" customWidth="1"/>
    <col min="6146" max="6146" width="10.88671875" bestFit="1" customWidth="1"/>
    <col min="6147" max="6147" width="12.33203125" bestFit="1" customWidth="1"/>
    <col min="6148" max="6148" width="13.109375" bestFit="1" customWidth="1"/>
    <col min="6149" max="6149" width="11.6640625" bestFit="1" customWidth="1"/>
    <col min="6401" max="6401" width="17.33203125" bestFit="1" customWidth="1"/>
    <col min="6402" max="6402" width="10.88671875" bestFit="1" customWidth="1"/>
    <col min="6403" max="6403" width="12.33203125" bestFit="1" customWidth="1"/>
    <col min="6404" max="6404" width="13.109375" bestFit="1" customWidth="1"/>
    <col min="6405" max="6405" width="11.6640625" bestFit="1" customWidth="1"/>
    <col min="6657" max="6657" width="17.33203125" bestFit="1" customWidth="1"/>
    <col min="6658" max="6658" width="10.88671875" bestFit="1" customWidth="1"/>
    <col min="6659" max="6659" width="12.33203125" bestFit="1" customWidth="1"/>
    <col min="6660" max="6660" width="13.109375" bestFit="1" customWidth="1"/>
    <col min="6661" max="6661" width="11.6640625" bestFit="1" customWidth="1"/>
    <col min="6913" max="6913" width="17.33203125" bestFit="1" customWidth="1"/>
    <col min="6914" max="6914" width="10.88671875" bestFit="1" customWidth="1"/>
    <col min="6915" max="6915" width="12.33203125" bestFit="1" customWidth="1"/>
    <col min="6916" max="6916" width="13.109375" bestFit="1" customWidth="1"/>
    <col min="6917" max="6917" width="11.6640625" bestFit="1" customWidth="1"/>
    <col min="7169" max="7169" width="17.33203125" bestFit="1" customWidth="1"/>
    <col min="7170" max="7170" width="10.88671875" bestFit="1" customWidth="1"/>
    <col min="7171" max="7171" width="12.33203125" bestFit="1" customWidth="1"/>
    <col min="7172" max="7172" width="13.109375" bestFit="1" customWidth="1"/>
    <col min="7173" max="7173" width="11.6640625" bestFit="1" customWidth="1"/>
    <col min="7425" max="7425" width="17.33203125" bestFit="1" customWidth="1"/>
    <col min="7426" max="7426" width="10.88671875" bestFit="1" customWidth="1"/>
    <col min="7427" max="7427" width="12.33203125" bestFit="1" customWidth="1"/>
    <col min="7428" max="7428" width="13.109375" bestFit="1" customWidth="1"/>
    <col min="7429" max="7429" width="11.6640625" bestFit="1" customWidth="1"/>
    <col min="7681" max="7681" width="17.33203125" bestFit="1" customWidth="1"/>
    <col min="7682" max="7682" width="10.88671875" bestFit="1" customWidth="1"/>
    <col min="7683" max="7683" width="12.33203125" bestFit="1" customWidth="1"/>
    <col min="7684" max="7684" width="13.109375" bestFit="1" customWidth="1"/>
    <col min="7685" max="7685" width="11.6640625" bestFit="1" customWidth="1"/>
    <col min="7937" max="7937" width="17.33203125" bestFit="1" customWidth="1"/>
    <col min="7938" max="7938" width="10.88671875" bestFit="1" customWidth="1"/>
    <col min="7939" max="7939" width="12.33203125" bestFit="1" customWidth="1"/>
    <col min="7940" max="7940" width="13.109375" bestFit="1" customWidth="1"/>
    <col min="7941" max="7941" width="11.6640625" bestFit="1" customWidth="1"/>
    <col min="8193" max="8193" width="17.33203125" bestFit="1" customWidth="1"/>
    <col min="8194" max="8194" width="10.88671875" bestFit="1" customWidth="1"/>
    <col min="8195" max="8195" width="12.33203125" bestFit="1" customWidth="1"/>
    <col min="8196" max="8196" width="13.109375" bestFit="1" customWidth="1"/>
    <col min="8197" max="8197" width="11.6640625" bestFit="1" customWidth="1"/>
    <col min="8449" max="8449" width="17.33203125" bestFit="1" customWidth="1"/>
    <col min="8450" max="8450" width="10.88671875" bestFit="1" customWidth="1"/>
    <col min="8451" max="8451" width="12.33203125" bestFit="1" customWidth="1"/>
    <col min="8452" max="8452" width="13.109375" bestFit="1" customWidth="1"/>
    <col min="8453" max="8453" width="11.6640625" bestFit="1" customWidth="1"/>
    <col min="8705" max="8705" width="17.33203125" bestFit="1" customWidth="1"/>
    <col min="8706" max="8706" width="10.88671875" bestFit="1" customWidth="1"/>
    <col min="8707" max="8707" width="12.33203125" bestFit="1" customWidth="1"/>
    <col min="8708" max="8708" width="13.109375" bestFit="1" customWidth="1"/>
    <col min="8709" max="8709" width="11.6640625" bestFit="1" customWidth="1"/>
    <col min="8961" max="8961" width="17.33203125" bestFit="1" customWidth="1"/>
    <col min="8962" max="8962" width="10.88671875" bestFit="1" customWidth="1"/>
    <col min="8963" max="8963" width="12.33203125" bestFit="1" customWidth="1"/>
    <col min="8964" max="8964" width="13.109375" bestFit="1" customWidth="1"/>
    <col min="8965" max="8965" width="11.6640625" bestFit="1" customWidth="1"/>
    <col min="9217" max="9217" width="17.33203125" bestFit="1" customWidth="1"/>
    <col min="9218" max="9218" width="10.88671875" bestFit="1" customWidth="1"/>
    <col min="9219" max="9219" width="12.33203125" bestFit="1" customWidth="1"/>
    <col min="9220" max="9220" width="13.109375" bestFit="1" customWidth="1"/>
    <col min="9221" max="9221" width="11.6640625" bestFit="1" customWidth="1"/>
    <col min="9473" max="9473" width="17.33203125" bestFit="1" customWidth="1"/>
    <col min="9474" max="9474" width="10.88671875" bestFit="1" customWidth="1"/>
    <col min="9475" max="9475" width="12.33203125" bestFit="1" customWidth="1"/>
    <col min="9476" max="9476" width="13.109375" bestFit="1" customWidth="1"/>
    <col min="9477" max="9477" width="11.6640625" bestFit="1" customWidth="1"/>
    <col min="9729" max="9729" width="17.33203125" bestFit="1" customWidth="1"/>
    <col min="9730" max="9730" width="10.88671875" bestFit="1" customWidth="1"/>
    <col min="9731" max="9731" width="12.33203125" bestFit="1" customWidth="1"/>
    <col min="9732" max="9732" width="13.109375" bestFit="1" customWidth="1"/>
    <col min="9733" max="9733" width="11.6640625" bestFit="1" customWidth="1"/>
    <col min="9985" max="9985" width="17.33203125" bestFit="1" customWidth="1"/>
    <col min="9986" max="9986" width="10.88671875" bestFit="1" customWidth="1"/>
    <col min="9987" max="9987" width="12.33203125" bestFit="1" customWidth="1"/>
    <col min="9988" max="9988" width="13.109375" bestFit="1" customWidth="1"/>
    <col min="9989" max="9989" width="11.6640625" bestFit="1" customWidth="1"/>
    <col min="10241" max="10241" width="17.33203125" bestFit="1" customWidth="1"/>
    <col min="10242" max="10242" width="10.88671875" bestFit="1" customWidth="1"/>
    <col min="10243" max="10243" width="12.33203125" bestFit="1" customWidth="1"/>
    <col min="10244" max="10244" width="13.109375" bestFit="1" customWidth="1"/>
    <col min="10245" max="10245" width="11.6640625" bestFit="1" customWidth="1"/>
    <col min="10497" max="10497" width="17.33203125" bestFit="1" customWidth="1"/>
    <col min="10498" max="10498" width="10.88671875" bestFit="1" customWidth="1"/>
    <col min="10499" max="10499" width="12.33203125" bestFit="1" customWidth="1"/>
    <col min="10500" max="10500" width="13.109375" bestFit="1" customWidth="1"/>
    <col min="10501" max="10501" width="11.6640625" bestFit="1" customWidth="1"/>
    <col min="10753" max="10753" width="17.33203125" bestFit="1" customWidth="1"/>
    <col min="10754" max="10754" width="10.88671875" bestFit="1" customWidth="1"/>
    <col min="10755" max="10755" width="12.33203125" bestFit="1" customWidth="1"/>
    <col min="10756" max="10756" width="13.109375" bestFit="1" customWidth="1"/>
    <col min="10757" max="10757" width="11.6640625" bestFit="1" customWidth="1"/>
    <col min="11009" max="11009" width="17.33203125" bestFit="1" customWidth="1"/>
    <col min="11010" max="11010" width="10.88671875" bestFit="1" customWidth="1"/>
    <col min="11011" max="11011" width="12.33203125" bestFit="1" customWidth="1"/>
    <col min="11012" max="11012" width="13.109375" bestFit="1" customWidth="1"/>
    <col min="11013" max="11013" width="11.6640625" bestFit="1" customWidth="1"/>
    <col min="11265" max="11265" width="17.33203125" bestFit="1" customWidth="1"/>
    <col min="11266" max="11266" width="10.88671875" bestFit="1" customWidth="1"/>
    <col min="11267" max="11267" width="12.33203125" bestFit="1" customWidth="1"/>
    <col min="11268" max="11268" width="13.109375" bestFit="1" customWidth="1"/>
    <col min="11269" max="11269" width="11.6640625" bestFit="1" customWidth="1"/>
    <col min="11521" max="11521" width="17.33203125" bestFit="1" customWidth="1"/>
    <col min="11522" max="11522" width="10.88671875" bestFit="1" customWidth="1"/>
    <col min="11523" max="11523" width="12.33203125" bestFit="1" customWidth="1"/>
    <col min="11524" max="11524" width="13.109375" bestFit="1" customWidth="1"/>
    <col min="11525" max="11525" width="11.6640625" bestFit="1" customWidth="1"/>
    <col min="11777" max="11777" width="17.33203125" bestFit="1" customWidth="1"/>
    <col min="11778" max="11778" width="10.88671875" bestFit="1" customWidth="1"/>
    <col min="11779" max="11779" width="12.33203125" bestFit="1" customWidth="1"/>
    <col min="11780" max="11780" width="13.109375" bestFit="1" customWidth="1"/>
    <col min="11781" max="11781" width="11.6640625" bestFit="1" customWidth="1"/>
    <col min="12033" max="12033" width="17.33203125" bestFit="1" customWidth="1"/>
    <col min="12034" max="12034" width="10.88671875" bestFit="1" customWidth="1"/>
    <col min="12035" max="12035" width="12.33203125" bestFit="1" customWidth="1"/>
    <col min="12036" max="12036" width="13.109375" bestFit="1" customWidth="1"/>
    <col min="12037" max="12037" width="11.6640625" bestFit="1" customWidth="1"/>
    <col min="12289" max="12289" width="17.33203125" bestFit="1" customWidth="1"/>
    <col min="12290" max="12290" width="10.88671875" bestFit="1" customWidth="1"/>
    <col min="12291" max="12291" width="12.33203125" bestFit="1" customWidth="1"/>
    <col min="12292" max="12292" width="13.109375" bestFit="1" customWidth="1"/>
    <col min="12293" max="12293" width="11.6640625" bestFit="1" customWidth="1"/>
    <col min="12545" max="12545" width="17.33203125" bestFit="1" customWidth="1"/>
    <col min="12546" max="12546" width="10.88671875" bestFit="1" customWidth="1"/>
    <col min="12547" max="12547" width="12.33203125" bestFit="1" customWidth="1"/>
    <col min="12548" max="12548" width="13.109375" bestFit="1" customWidth="1"/>
    <col min="12549" max="12549" width="11.6640625" bestFit="1" customWidth="1"/>
    <col min="12801" max="12801" width="17.33203125" bestFit="1" customWidth="1"/>
    <col min="12802" max="12802" width="10.88671875" bestFit="1" customWidth="1"/>
    <col min="12803" max="12803" width="12.33203125" bestFit="1" customWidth="1"/>
    <col min="12804" max="12804" width="13.109375" bestFit="1" customWidth="1"/>
    <col min="12805" max="12805" width="11.6640625" bestFit="1" customWidth="1"/>
    <col min="13057" max="13057" width="17.33203125" bestFit="1" customWidth="1"/>
    <col min="13058" max="13058" width="10.88671875" bestFit="1" customWidth="1"/>
    <col min="13059" max="13059" width="12.33203125" bestFit="1" customWidth="1"/>
    <col min="13060" max="13060" width="13.109375" bestFit="1" customWidth="1"/>
    <col min="13061" max="13061" width="11.6640625" bestFit="1" customWidth="1"/>
    <col min="13313" max="13313" width="17.33203125" bestFit="1" customWidth="1"/>
    <col min="13314" max="13314" width="10.88671875" bestFit="1" customWidth="1"/>
    <col min="13315" max="13315" width="12.33203125" bestFit="1" customWidth="1"/>
    <col min="13316" max="13316" width="13.109375" bestFit="1" customWidth="1"/>
    <col min="13317" max="13317" width="11.6640625" bestFit="1" customWidth="1"/>
    <col min="13569" max="13569" width="17.33203125" bestFit="1" customWidth="1"/>
    <col min="13570" max="13570" width="10.88671875" bestFit="1" customWidth="1"/>
    <col min="13571" max="13571" width="12.33203125" bestFit="1" customWidth="1"/>
    <col min="13572" max="13572" width="13.109375" bestFit="1" customWidth="1"/>
    <col min="13573" max="13573" width="11.6640625" bestFit="1" customWidth="1"/>
    <col min="13825" max="13825" width="17.33203125" bestFit="1" customWidth="1"/>
    <col min="13826" max="13826" width="10.88671875" bestFit="1" customWidth="1"/>
    <col min="13827" max="13827" width="12.33203125" bestFit="1" customWidth="1"/>
    <col min="13828" max="13828" width="13.109375" bestFit="1" customWidth="1"/>
    <col min="13829" max="13829" width="11.6640625" bestFit="1" customWidth="1"/>
    <col min="14081" max="14081" width="17.33203125" bestFit="1" customWidth="1"/>
    <col min="14082" max="14082" width="10.88671875" bestFit="1" customWidth="1"/>
    <col min="14083" max="14083" width="12.33203125" bestFit="1" customWidth="1"/>
    <col min="14084" max="14084" width="13.109375" bestFit="1" customWidth="1"/>
    <col min="14085" max="14085" width="11.6640625" bestFit="1" customWidth="1"/>
    <col min="14337" max="14337" width="17.33203125" bestFit="1" customWidth="1"/>
    <col min="14338" max="14338" width="10.88671875" bestFit="1" customWidth="1"/>
    <col min="14339" max="14339" width="12.33203125" bestFit="1" customWidth="1"/>
    <col min="14340" max="14340" width="13.109375" bestFit="1" customWidth="1"/>
    <col min="14341" max="14341" width="11.6640625" bestFit="1" customWidth="1"/>
    <col min="14593" max="14593" width="17.33203125" bestFit="1" customWidth="1"/>
    <col min="14594" max="14594" width="10.88671875" bestFit="1" customWidth="1"/>
    <col min="14595" max="14595" width="12.33203125" bestFit="1" customWidth="1"/>
    <col min="14596" max="14596" width="13.109375" bestFit="1" customWidth="1"/>
    <col min="14597" max="14597" width="11.6640625" bestFit="1" customWidth="1"/>
    <col min="14849" max="14849" width="17.33203125" bestFit="1" customWidth="1"/>
    <col min="14850" max="14850" width="10.88671875" bestFit="1" customWidth="1"/>
    <col min="14851" max="14851" width="12.33203125" bestFit="1" customWidth="1"/>
    <col min="14852" max="14852" width="13.109375" bestFit="1" customWidth="1"/>
    <col min="14853" max="14853" width="11.6640625" bestFit="1" customWidth="1"/>
    <col min="15105" max="15105" width="17.33203125" bestFit="1" customWidth="1"/>
    <col min="15106" max="15106" width="10.88671875" bestFit="1" customWidth="1"/>
    <col min="15107" max="15107" width="12.33203125" bestFit="1" customWidth="1"/>
    <col min="15108" max="15108" width="13.109375" bestFit="1" customWidth="1"/>
    <col min="15109" max="15109" width="11.6640625" bestFit="1" customWidth="1"/>
    <col min="15361" max="15361" width="17.33203125" bestFit="1" customWidth="1"/>
    <col min="15362" max="15362" width="10.88671875" bestFit="1" customWidth="1"/>
    <col min="15363" max="15363" width="12.33203125" bestFit="1" customWidth="1"/>
    <col min="15364" max="15364" width="13.109375" bestFit="1" customWidth="1"/>
    <col min="15365" max="15365" width="11.6640625" bestFit="1" customWidth="1"/>
    <col min="15617" max="15617" width="17.33203125" bestFit="1" customWidth="1"/>
    <col min="15618" max="15618" width="10.88671875" bestFit="1" customWidth="1"/>
    <col min="15619" max="15619" width="12.33203125" bestFit="1" customWidth="1"/>
    <col min="15620" max="15620" width="13.109375" bestFit="1" customWidth="1"/>
    <col min="15621" max="15621" width="11.6640625" bestFit="1" customWidth="1"/>
    <col min="15873" max="15873" width="17.33203125" bestFit="1" customWidth="1"/>
    <col min="15874" max="15874" width="10.88671875" bestFit="1" customWidth="1"/>
    <col min="15875" max="15875" width="12.33203125" bestFit="1" customWidth="1"/>
    <col min="15876" max="15876" width="13.109375" bestFit="1" customWidth="1"/>
    <col min="15877" max="15877" width="11.6640625" bestFit="1" customWidth="1"/>
    <col min="16129" max="16129" width="17.33203125" bestFit="1" customWidth="1"/>
    <col min="16130" max="16130" width="10.88671875" bestFit="1" customWidth="1"/>
    <col min="16131" max="16131" width="12.33203125" bestFit="1" customWidth="1"/>
    <col min="16132" max="16132" width="13.109375" bestFit="1" customWidth="1"/>
    <col min="16133" max="16133" width="11.6640625" bestFit="1" customWidth="1"/>
  </cols>
  <sheetData>
    <row r="1" spans="1:5" x14ac:dyDescent="0.3">
      <c r="A1" s="103" t="s">
        <v>164</v>
      </c>
      <c r="B1" s="21">
        <v>10000</v>
      </c>
    </row>
    <row r="2" spans="1:5" x14ac:dyDescent="0.3">
      <c r="A2" s="103" t="s">
        <v>70</v>
      </c>
      <c r="B2" s="1">
        <v>0.14000000000000001</v>
      </c>
    </row>
    <row r="3" spans="1:5" x14ac:dyDescent="0.3">
      <c r="A3" s="103" t="s">
        <v>77</v>
      </c>
      <c r="B3" s="1">
        <v>5</v>
      </c>
    </row>
    <row r="4" spans="1:5" x14ac:dyDescent="0.3">
      <c r="A4" s="103" t="s">
        <v>39</v>
      </c>
      <c r="B4" s="1">
        <v>1</v>
      </c>
    </row>
    <row r="5" spans="1:5" x14ac:dyDescent="0.3">
      <c r="A5" s="103" t="s">
        <v>96</v>
      </c>
      <c r="B5" s="1">
        <f>B2/B4</f>
        <v>0.14000000000000001</v>
      </c>
    </row>
    <row r="6" spans="1:5" x14ac:dyDescent="0.3">
      <c r="A6" s="103" t="s">
        <v>165</v>
      </c>
      <c r="B6" s="1">
        <f>B4*B3</f>
        <v>5</v>
      </c>
    </row>
    <row r="7" spans="1:5" x14ac:dyDescent="0.3">
      <c r="A7" s="103" t="s">
        <v>97</v>
      </c>
      <c r="B7" s="104">
        <f>PMT(B5,B6,B1)</f>
        <v>-2912.8354649104344</v>
      </c>
    </row>
    <row r="9" spans="1:5" x14ac:dyDescent="0.3">
      <c r="A9" s="103" t="s">
        <v>25</v>
      </c>
      <c r="B9" s="103" t="s">
        <v>145</v>
      </c>
      <c r="C9" s="103" t="s">
        <v>133</v>
      </c>
      <c r="D9" s="103" t="s">
        <v>134</v>
      </c>
      <c r="E9" s="103" t="s">
        <v>146</v>
      </c>
    </row>
    <row r="10" spans="1:5" x14ac:dyDescent="0.3">
      <c r="A10" s="1">
        <v>0</v>
      </c>
      <c r="B10" s="1"/>
      <c r="C10" s="1"/>
      <c r="D10" s="1"/>
      <c r="E10" s="105">
        <f>B1</f>
        <v>10000</v>
      </c>
    </row>
    <row r="11" spans="1:5" x14ac:dyDescent="0.3">
      <c r="A11" s="1">
        <v>1</v>
      </c>
      <c r="B11" s="105">
        <f>-$B$7</f>
        <v>2912.8354649104344</v>
      </c>
      <c r="C11" s="105">
        <f>E10*$B$5</f>
        <v>1400.0000000000002</v>
      </c>
      <c r="D11" s="105">
        <f>B11-C11</f>
        <v>1512.8354649104342</v>
      </c>
      <c r="E11" s="105">
        <f>E10-D11</f>
        <v>8487.1645350895651</v>
      </c>
    </row>
    <row r="12" spans="1:5" x14ac:dyDescent="0.3">
      <c r="A12" s="1">
        <v>2</v>
      </c>
      <c r="B12" s="105">
        <f>-$B$7</f>
        <v>2912.8354649104344</v>
      </c>
      <c r="C12" s="105">
        <f>E11*$B$5</f>
        <v>1188.2030349125391</v>
      </c>
      <c r="D12" s="105">
        <f>B12-C12</f>
        <v>1724.6324299978953</v>
      </c>
      <c r="E12" s="105">
        <f>E11-D12</f>
        <v>6762.53210509167</v>
      </c>
    </row>
    <row r="13" spans="1:5" x14ac:dyDescent="0.3">
      <c r="A13" s="1">
        <v>3</v>
      </c>
      <c r="B13" s="105">
        <f>-$B$7</f>
        <v>2912.8354649104344</v>
      </c>
      <c r="C13" s="105">
        <f>E12*$B$5</f>
        <v>946.75449471283389</v>
      </c>
      <c r="D13" s="105">
        <f>B13-C13</f>
        <v>1966.0809701976004</v>
      </c>
      <c r="E13" s="105">
        <f>E12-D13</f>
        <v>4796.4511348940696</v>
      </c>
    </row>
    <row r="14" spans="1:5" x14ac:dyDescent="0.3">
      <c r="A14" s="1">
        <v>4</v>
      </c>
      <c r="B14" s="105">
        <f>-$B$7</f>
        <v>2912.8354649104344</v>
      </c>
      <c r="C14" s="105">
        <f>E13*$B$5</f>
        <v>671.5031588851698</v>
      </c>
      <c r="D14" s="105">
        <f>B14-C14</f>
        <v>2241.3323060252646</v>
      </c>
      <c r="E14" s="105">
        <f>E13-D14</f>
        <v>2555.1188288688049</v>
      </c>
    </row>
    <row r="15" spans="1:5" ht="15" thickBot="1" x14ac:dyDescent="0.35">
      <c r="A15" s="28">
        <v>5</v>
      </c>
      <c r="B15" s="106">
        <f>-$B$7</f>
        <v>2912.8354649104344</v>
      </c>
      <c r="C15" s="106">
        <f>E14*$B$5</f>
        <v>357.71663604163274</v>
      </c>
      <c r="D15" s="106">
        <f>B15-C15</f>
        <v>2555.1188288688018</v>
      </c>
      <c r="E15" s="106">
        <f>E14-D15</f>
        <v>0</v>
      </c>
    </row>
    <row r="16" spans="1:5" ht="15" thickBot="1" x14ac:dyDescent="0.35">
      <c r="A16" s="107" t="s">
        <v>46</v>
      </c>
      <c r="B16" s="108">
        <f>SUM(B11:B15)</f>
        <v>14564.177324552173</v>
      </c>
      <c r="C16" s="108">
        <f>SUM(C11:C15)</f>
        <v>4564.1773245521763</v>
      </c>
      <c r="D16" s="109">
        <f>SUM(D11:D15)</f>
        <v>9999.9999999999964</v>
      </c>
      <c r="E16" s="107"/>
    </row>
    <row r="17" ht="15" thickTop="1" x14ac:dyDescent="0.3"/>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12"/>
  <sheetViews>
    <sheetView zoomScale="130" zoomScaleNormal="130" workbookViewId="0">
      <selection activeCell="B15" sqref="B15"/>
    </sheetView>
  </sheetViews>
  <sheetFormatPr defaultRowHeight="14.4" x14ac:dyDescent="0.3"/>
  <cols>
    <col min="1" max="1" width="21.33203125" bestFit="1" customWidth="1"/>
    <col min="2" max="2" width="13.109375" bestFit="1" customWidth="1"/>
    <col min="257" max="257" width="21.33203125" bestFit="1" customWidth="1"/>
    <col min="258" max="258" width="13.109375" bestFit="1" customWidth="1"/>
    <col min="513" max="513" width="21.33203125" bestFit="1" customWidth="1"/>
    <col min="514" max="514" width="13.109375" bestFit="1" customWidth="1"/>
    <col min="769" max="769" width="21.33203125" bestFit="1" customWidth="1"/>
    <col min="770" max="770" width="13.109375" bestFit="1" customWidth="1"/>
    <col min="1025" max="1025" width="21.33203125" bestFit="1" customWidth="1"/>
    <col min="1026" max="1026" width="13.109375" bestFit="1" customWidth="1"/>
    <col min="1281" max="1281" width="21.33203125" bestFit="1" customWidth="1"/>
    <col min="1282" max="1282" width="13.109375" bestFit="1" customWidth="1"/>
    <col min="1537" max="1537" width="21.33203125" bestFit="1" customWidth="1"/>
    <col min="1538" max="1538" width="13.109375" bestFit="1" customWidth="1"/>
    <col min="1793" max="1793" width="21.33203125" bestFit="1" customWidth="1"/>
    <col min="1794" max="1794" width="13.109375" bestFit="1" customWidth="1"/>
    <col min="2049" max="2049" width="21.33203125" bestFit="1" customWidth="1"/>
    <col min="2050" max="2050" width="13.109375" bestFit="1" customWidth="1"/>
    <col min="2305" max="2305" width="21.33203125" bestFit="1" customWidth="1"/>
    <col min="2306" max="2306" width="13.109375" bestFit="1" customWidth="1"/>
    <col min="2561" max="2561" width="21.33203125" bestFit="1" customWidth="1"/>
    <col min="2562" max="2562" width="13.109375" bestFit="1" customWidth="1"/>
    <col min="2817" max="2817" width="21.33203125" bestFit="1" customWidth="1"/>
    <col min="2818" max="2818" width="13.109375" bestFit="1" customWidth="1"/>
    <col min="3073" max="3073" width="21.33203125" bestFit="1" customWidth="1"/>
    <col min="3074" max="3074" width="13.109375" bestFit="1" customWidth="1"/>
    <col min="3329" max="3329" width="21.33203125" bestFit="1" customWidth="1"/>
    <col min="3330" max="3330" width="13.109375" bestFit="1" customWidth="1"/>
    <col min="3585" max="3585" width="21.33203125" bestFit="1" customWidth="1"/>
    <col min="3586" max="3586" width="13.109375" bestFit="1" customWidth="1"/>
    <col min="3841" max="3841" width="21.33203125" bestFit="1" customWidth="1"/>
    <col min="3842" max="3842" width="13.109375" bestFit="1" customWidth="1"/>
    <col min="4097" max="4097" width="21.33203125" bestFit="1" customWidth="1"/>
    <col min="4098" max="4098" width="13.109375" bestFit="1" customWidth="1"/>
    <col min="4353" max="4353" width="21.33203125" bestFit="1" customWidth="1"/>
    <col min="4354" max="4354" width="13.109375" bestFit="1" customWidth="1"/>
    <col min="4609" max="4609" width="21.33203125" bestFit="1" customWidth="1"/>
    <col min="4610" max="4610" width="13.109375" bestFit="1" customWidth="1"/>
    <col min="4865" max="4865" width="21.33203125" bestFit="1" customWidth="1"/>
    <col min="4866" max="4866" width="13.109375" bestFit="1" customWidth="1"/>
    <col min="5121" max="5121" width="21.33203125" bestFit="1" customWidth="1"/>
    <col min="5122" max="5122" width="13.109375" bestFit="1" customWidth="1"/>
    <col min="5377" max="5377" width="21.33203125" bestFit="1" customWidth="1"/>
    <col min="5378" max="5378" width="13.109375" bestFit="1" customWidth="1"/>
    <col min="5633" max="5633" width="21.33203125" bestFit="1" customWidth="1"/>
    <col min="5634" max="5634" width="13.109375" bestFit="1" customWidth="1"/>
    <col min="5889" max="5889" width="21.33203125" bestFit="1" customWidth="1"/>
    <col min="5890" max="5890" width="13.109375" bestFit="1" customWidth="1"/>
    <col min="6145" max="6145" width="21.33203125" bestFit="1" customWidth="1"/>
    <col min="6146" max="6146" width="13.109375" bestFit="1" customWidth="1"/>
    <col min="6401" max="6401" width="21.33203125" bestFit="1" customWidth="1"/>
    <col min="6402" max="6402" width="13.109375" bestFit="1" customWidth="1"/>
    <col min="6657" max="6657" width="21.33203125" bestFit="1" customWidth="1"/>
    <col min="6658" max="6658" width="13.109375" bestFit="1" customWidth="1"/>
    <col min="6913" max="6913" width="21.33203125" bestFit="1" customWidth="1"/>
    <col min="6914" max="6914" width="13.109375" bestFit="1" customWidth="1"/>
    <col min="7169" max="7169" width="21.33203125" bestFit="1" customWidth="1"/>
    <col min="7170" max="7170" width="13.109375" bestFit="1" customWidth="1"/>
    <col min="7425" max="7425" width="21.33203125" bestFit="1" customWidth="1"/>
    <col min="7426" max="7426" width="13.109375" bestFit="1" customWidth="1"/>
    <col min="7681" max="7681" width="21.33203125" bestFit="1" customWidth="1"/>
    <col min="7682" max="7682" width="13.109375" bestFit="1" customWidth="1"/>
    <col min="7937" max="7937" width="21.33203125" bestFit="1" customWidth="1"/>
    <col min="7938" max="7938" width="13.109375" bestFit="1" customWidth="1"/>
    <col min="8193" max="8193" width="21.33203125" bestFit="1" customWidth="1"/>
    <col min="8194" max="8194" width="13.109375" bestFit="1" customWidth="1"/>
    <col min="8449" max="8449" width="21.33203125" bestFit="1" customWidth="1"/>
    <col min="8450" max="8450" width="13.109375" bestFit="1" customWidth="1"/>
    <col min="8705" max="8705" width="21.33203125" bestFit="1" customWidth="1"/>
    <col min="8706" max="8706" width="13.109375" bestFit="1" customWidth="1"/>
    <col min="8961" max="8961" width="21.33203125" bestFit="1" customWidth="1"/>
    <col min="8962" max="8962" width="13.109375" bestFit="1" customWidth="1"/>
    <col min="9217" max="9217" width="21.33203125" bestFit="1" customWidth="1"/>
    <col min="9218" max="9218" width="13.109375" bestFit="1" customWidth="1"/>
    <col min="9473" max="9473" width="21.33203125" bestFit="1" customWidth="1"/>
    <col min="9474" max="9474" width="13.109375" bestFit="1" customWidth="1"/>
    <col min="9729" max="9729" width="21.33203125" bestFit="1" customWidth="1"/>
    <col min="9730" max="9730" width="13.109375" bestFit="1" customWidth="1"/>
    <col min="9985" max="9985" width="21.33203125" bestFit="1" customWidth="1"/>
    <col min="9986" max="9986" width="13.109375" bestFit="1" customWidth="1"/>
    <col min="10241" max="10241" width="21.33203125" bestFit="1" customWidth="1"/>
    <col min="10242" max="10242" width="13.109375" bestFit="1" customWidth="1"/>
    <col min="10497" max="10497" width="21.33203125" bestFit="1" customWidth="1"/>
    <col min="10498" max="10498" width="13.109375" bestFit="1" customWidth="1"/>
    <col min="10753" max="10753" width="21.33203125" bestFit="1" customWidth="1"/>
    <col min="10754" max="10754" width="13.109375" bestFit="1" customWidth="1"/>
    <col min="11009" max="11009" width="21.33203125" bestFit="1" customWidth="1"/>
    <col min="11010" max="11010" width="13.109375" bestFit="1" customWidth="1"/>
    <col min="11265" max="11265" width="21.33203125" bestFit="1" customWidth="1"/>
    <col min="11266" max="11266" width="13.109375" bestFit="1" customWidth="1"/>
    <col min="11521" max="11521" width="21.33203125" bestFit="1" customWidth="1"/>
    <col min="11522" max="11522" width="13.109375" bestFit="1" customWidth="1"/>
    <col min="11777" max="11777" width="21.33203125" bestFit="1" customWidth="1"/>
    <col min="11778" max="11778" width="13.109375" bestFit="1" customWidth="1"/>
    <col min="12033" max="12033" width="21.33203125" bestFit="1" customWidth="1"/>
    <col min="12034" max="12034" width="13.109375" bestFit="1" customWidth="1"/>
    <col min="12289" max="12289" width="21.33203125" bestFit="1" customWidth="1"/>
    <col min="12290" max="12290" width="13.109375" bestFit="1" customWidth="1"/>
    <col min="12545" max="12545" width="21.33203125" bestFit="1" customWidth="1"/>
    <col min="12546" max="12546" width="13.109375" bestFit="1" customWidth="1"/>
    <col min="12801" max="12801" width="21.33203125" bestFit="1" customWidth="1"/>
    <col min="12802" max="12802" width="13.109375" bestFit="1" customWidth="1"/>
    <col min="13057" max="13057" width="21.33203125" bestFit="1" customWidth="1"/>
    <col min="13058" max="13058" width="13.109375" bestFit="1" customWidth="1"/>
    <col min="13313" max="13313" width="21.33203125" bestFit="1" customWidth="1"/>
    <col min="13314" max="13314" width="13.109375" bestFit="1" customWidth="1"/>
    <col min="13569" max="13569" width="21.33203125" bestFit="1" customWidth="1"/>
    <col min="13570" max="13570" width="13.109375" bestFit="1" customWidth="1"/>
    <col min="13825" max="13825" width="21.33203125" bestFit="1" customWidth="1"/>
    <col min="13826" max="13826" width="13.109375" bestFit="1" customWidth="1"/>
    <col min="14081" max="14081" width="21.33203125" bestFit="1" customWidth="1"/>
    <col min="14082" max="14082" width="13.109375" bestFit="1" customWidth="1"/>
    <col min="14337" max="14337" width="21.33203125" bestFit="1" customWidth="1"/>
    <col min="14338" max="14338" width="13.109375" bestFit="1" customWidth="1"/>
    <col min="14593" max="14593" width="21.33203125" bestFit="1" customWidth="1"/>
    <col min="14594" max="14594" width="13.109375" bestFit="1" customWidth="1"/>
    <col min="14849" max="14849" width="21.33203125" bestFit="1" customWidth="1"/>
    <col min="14850" max="14850" width="13.109375" bestFit="1" customWidth="1"/>
    <col min="15105" max="15105" width="21.33203125" bestFit="1" customWidth="1"/>
    <col min="15106" max="15106" width="13.109375" bestFit="1" customWidth="1"/>
    <col min="15361" max="15361" width="21.33203125" bestFit="1" customWidth="1"/>
    <col min="15362" max="15362" width="13.109375" bestFit="1" customWidth="1"/>
    <col min="15617" max="15617" width="21.33203125" bestFit="1" customWidth="1"/>
    <col min="15618" max="15618" width="13.109375" bestFit="1" customWidth="1"/>
    <col min="15873" max="15873" width="21.33203125" bestFit="1" customWidth="1"/>
    <col min="15874" max="15874" width="13.109375" bestFit="1" customWidth="1"/>
    <col min="16129" max="16129" width="21.33203125" bestFit="1" customWidth="1"/>
    <col min="16130" max="16130" width="13.109375" bestFit="1" customWidth="1"/>
  </cols>
  <sheetData>
    <row r="1" spans="1:2" x14ac:dyDescent="0.3">
      <c r="A1" s="1" t="s">
        <v>166</v>
      </c>
      <c r="B1" s="21">
        <v>21000</v>
      </c>
    </row>
    <row r="2" spans="1:2" x14ac:dyDescent="0.3">
      <c r="A2" s="1" t="s">
        <v>167</v>
      </c>
      <c r="B2" s="21">
        <v>0.1</v>
      </c>
    </row>
    <row r="3" spans="1:2" x14ac:dyDescent="0.3">
      <c r="A3" s="1" t="s">
        <v>168</v>
      </c>
      <c r="B3" s="38"/>
    </row>
    <row r="4" spans="1:2" x14ac:dyDescent="0.3">
      <c r="A4" s="1" t="s">
        <v>169</v>
      </c>
      <c r="B4" s="38"/>
    </row>
    <row r="5" spans="1:2" x14ac:dyDescent="0.3">
      <c r="A5" s="1" t="s">
        <v>57</v>
      </c>
      <c r="B5" s="1">
        <v>0.15</v>
      </c>
    </row>
    <row r="6" spans="1:2" x14ac:dyDescent="0.3">
      <c r="A6" s="1" t="s">
        <v>114</v>
      </c>
      <c r="B6" s="1">
        <v>12</v>
      </c>
    </row>
    <row r="7" spans="1:2" x14ac:dyDescent="0.3">
      <c r="A7" s="1" t="s">
        <v>170</v>
      </c>
      <c r="B7" s="42"/>
    </row>
    <row r="8" spans="1:2" x14ac:dyDescent="0.3">
      <c r="A8" s="1" t="s">
        <v>171</v>
      </c>
      <c r="B8" s="1">
        <v>72</v>
      </c>
    </row>
    <row r="9" spans="1:2" x14ac:dyDescent="0.3">
      <c r="A9" s="1" t="s">
        <v>96</v>
      </c>
      <c r="B9" s="42"/>
    </row>
    <row r="10" spans="1:2" x14ac:dyDescent="0.3">
      <c r="A10" s="1" t="s">
        <v>97</v>
      </c>
      <c r="B10" s="30"/>
    </row>
    <row r="11" spans="1:2" x14ac:dyDescent="0.3">
      <c r="A11" s="1" t="s">
        <v>71</v>
      </c>
      <c r="B11" s="42"/>
    </row>
    <row r="12" spans="1:2" x14ac:dyDescent="0.3">
      <c r="A12" s="1" t="s">
        <v>71</v>
      </c>
      <c r="B12" s="42"/>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zoomScale="130" zoomScaleNormal="130" workbookViewId="0">
      <selection activeCell="B15" sqref="B15"/>
    </sheetView>
  </sheetViews>
  <sheetFormatPr defaultRowHeight="14.4" x14ac:dyDescent="0.3"/>
  <cols>
    <col min="1" max="1" width="21.33203125" bestFit="1" customWidth="1"/>
    <col min="2" max="2" width="13.109375" bestFit="1" customWidth="1"/>
    <col min="257" max="257" width="21.33203125" bestFit="1" customWidth="1"/>
    <col min="258" max="258" width="13.109375" bestFit="1" customWidth="1"/>
    <col min="513" max="513" width="21.33203125" bestFit="1" customWidth="1"/>
    <col min="514" max="514" width="13.109375" bestFit="1" customWidth="1"/>
    <col min="769" max="769" width="21.33203125" bestFit="1" customWidth="1"/>
    <col min="770" max="770" width="13.109375" bestFit="1" customWidth="1"/>
    <col min="1025" max="1025" width="21.33203125" bestFit="1" customWidth="1"/>
    <col min="1026" max="1026" width="13.109375" bestFit="1" customWidth="1"/>
    <col min="1281" max="1281" width="21.33203125" bestFit="1" customWidth="1"/>
    <col min="1282" max="1282" width="13.109375" bestFit="1" customWidth="1"/>
    <col min="1537" max="1537" width="21.33203125" bestFit="1" customWidth="1"/>
    <col min="1538" max="1538" width="13.109375" bestFit="1" customWidth="1"/>
    <col min="1793" max="1793" width="21.33203125" bestFit="1" customWidth="1"/>
    <col min="1794" max="1794" width="13.109375" bestFit="1" customWidth="1"/>
    <col min="2049" max="2049" width="21.33203125" bestFit="1" customWidth="1"/>
    <col min="2050" max="2050" width="13.109375" bestFit="1" customWidth="1"/>
    <col min="2305" max="2305" width="21.33203125" bestFit="1" customWidth="1"/>
    <col min="2306" max="2306" width="13.109375" bestFit="1" customWidth="1"/>
    <col min="2561" max="2561" width="21.33203125" bestFit="1" customWidth="1"/>
    <col min="2562" max="2562" width="13.109375" bestFit="1" customWidth="1"/>
    <col min="2817" max="2817" width="21.33203125" bestFit="1" customWidth="1"/>
    <col min="2818" max="2818" width="13.109375" bestFit="1" customWidth="1"/>
    <col min="3073" max="3073" width="21.33203125" bestFit="1" customWidth="1"/>
    <col min="3074" max="3074" width="13.109375" bestFit="1" customWidth="1"/>
    <col min="3329" max="3329" width="21.33203125" bestFit="1" customWidth="1"/>
    <col min="3330" max="3330" width="13.109375" bestFit="1" customWidth="1"/>
    <col min="3585" max="3585" width="21.33203125" bestFit="1" customWidth="1"/>
    <col min="3586" max="3586" width="13.109375" bestFit="1" customWidth="1"/>
    <col min="3841" max="3841" width="21.33203125" bestFit="1" customWidth="1"/>
    <col min="3842" max="3842" width="13.109375" bestFit="1" customWidth="1"/>
    <col min="4097" max="4097" width="21.33203125" bestFit="1" customWidth="1"/>
    <col min="4098" max="4098" width="13.109375" bestFit="1" customWidth="1"/>
    <col min="4353" max="4353" width="21.33203125" bestFit="1" customWidth="1"/>
    <col min="4354" max="4354" width="13.109375" bestFit="1" customWidth="1"/>
    <col min="4609" max="4609" width="21.33203125" bestFit="1" customWidth="1"/>
    <col min="4610" max="4610" width="13.109375" bestFit="1" customWidth="1"/>
    <col min="4865" max="4865" width="21.33203125" bestFit="1" customWidth="1"/>
    <col min="4866" max="4866" width="13.109375" bestFit="1" customWidth="1"/>
    <col min="5121" max="5121" width="21.33203125" bestFit="1" customWidth="1"/>
    <col min="5122" max="5122" width="13.109375" bestFit="1" customWidth="1"/>
    <col min="5377" max="5377" width="21.33203125" bestFit="1" customWidth="1"/>
    <col min="5378" max="5378" width="13.109375" bestFit="1" customWidth="1"/>
    <col min="5633" max="5633" width="21.33203125" bestFit="1" customWidth="1"/>
    <col min="5634" max="5634" width="13.109375" bestFit="1" customWidth="1"/>
    <col min="5889" max="5889" width="21.33203125" bestFit="1" customWidth="1"/>
    <col min="5890" max="5890" width="13.109375" bestFit="1" customWidth="1"/>
    <col min="6145" max="6145" width="21.33203125" bestFit="1" customWidth="1"/>
    <col min="6146" max="6146" width="13.109375" bestFit="1" customWidth="1"/>
    <col min="6401" max="6401" width="21.33203125" bestFit="1" customWidth="1"/>
    <col min="6402" max="6402" width="13.109375" bestFit="1" customWidth="1"/>
    <col min="6657" max="6657" width="21.33203125" bestFit="1" customWidth="1"/>
    <col min="6658" max="6658" width="13.109375" bestFit="1" customWidth="1"/>
    <col min="6913" max="6913" width="21.33203125" bestFit="1" customWidth="1"/>
    <col min="6914" max="6914" width="13.109375" bestFit="1" customWidth="1"/>
    <col min="7169" max="7169" width="21.33203125" bestFit="1" customWidth="1"/>
    <col min="7170" max="7170" width="13.109375" bestFit="1" customWidth="1"/>
    <col min="7425" max="7425" width="21.33203125" bestFit="1" customWidth="1"/>
    <col min="7426" max="7426" width="13.109375" bestFit="1" customWidth="1"/>
    <col min="7681" max="7681" width="21.33203125" bestFit="1" customWidth="1"/>
    <col min="7682" max="7682" width="13.109375" bestFit="1" customWidth="1"/>
    <col min="7937" max="7937" width="21.33203125" bestFit="1" customWidth="1"/>
    <col min="7938" max="7938" width="13.109375" bestFit="1" customWidth="1"/>
    <col min="8193" max="8193" width="21.33203125" bestFit="1" customWidth="1"/>
    <col min="8194" max="8194" width="13.109375" bestFit="1" customWidth="1"/>
    <col min="8449" max="8449" width="21.33203125" bestFit="1" customWidth="1"/>
    <col min="8450" max="8450" width="13.109375" bestFit="1" customWidth="1"/>
    <col min="8705" max="8705" width="21.33203125" bestFit="1" customWidth="1"/>
    <col min="8706" max="8706" width="13.109375" bestFit="1" customWidth="1"/>
    <col min="8961" max="8961" width="21.33203125" bestFit="1" customWidth="1"/>
    <col min="8962" max="8962" width="13.109375" bestFit="1" customWidth="1"/>
    <col min="9217" max="9217" width="21.33203125" bestFit="1" customWidth="1"/>
    <col min="9218" max="9218" width="13.109375" bestFit="1" customWidth="1"/>
    <col min="9473" max="9473" width="21.33203125" bestFit="1" customWidth="1"/>
    <col min="9474" max="9474" width="13.109375" bestFit="1" customWidth="1"/>
    <col min="9729" max="9729" width="21.33203125" bestFit="1" customWidth="1"/>
    <col min="9730" max="9730" width="13.109375" bestFit="1" customWidth="1"/>
    <col min="9985" max="9985" width="21.33203125" bestFit="1" customWidth="1"/>
    <col min="9986" max="9986" width="13.109375" bestFit="1" customWidth="1"/>
    <col min="10241" max="10241" width="21.33203125" bestFit="1" customWidth="1"/>
    <col min="10242" max="10242" width="13.109375" bestFit="1" customWidth="1"/>
    <col min="10497" max="10497" width="21.33203125" bestFit="1" customWidth="1"/>
    <col min="10498" max="10498" width="13.109375" bestFit="1" customWidth="1"/>
    <col min="10753" max="10753" width="21.33203125" bestFit="1" customWidth="1"/>
    <col min="10754" max="10754" width="13.109375" bestFit="1" customWidth="1"/>
    <col min="11009" max="11009" width="21.33203125" bestFit="1" customWidth="1"/>
    <col min="11010" max="11010" width="13.109375" bestFit="1" customWidth="1"/>
    <col min="11265" max="11265" width="21.33203125" bestFit="1" customWidth="1"/>
    <col min="11266" max="11266" width="13.109375" bestFit="1" customWidth="1"/>
    <col min="11521" max="11521" width="21.33203125" bestFit="1" customWidth="1"/>
    <col min="11522" max="11522" width="13.109375" bestFit="1" customWidth="1"/>
    <col min="11777" max="11777" width="21.33203125" bestFit="1" customWidth="1"/>
    <col min="11778" max="11778" width="13.109375" bestFit="1" customWidth="1"/>
    <col min="12033" max="12033" width="21.33203125" bestFit="1" customWidth="1"/>
    <col min="12034" max="12034" width="13.109375" bestFit="1" customWidth="1"/>
    <col min="12289" max="12289" width="21.33203125" bestFit="1" customWidth="1"/>
    <col min="12290" max="12290" width="13.109375" bestFit="1" customWidth="1"/>
    <col min="12545" max="12545" width="21.33203125" bestFit="1" customWidth="1"/>
    <col min="12546" max="12546" width="13.109375" bestFit="1" customWidth="1"/>
    <col min="12801" max="12801" width="21.33203125" bestFit="1" customWidth="1"/>
    <col min="12802" max="12802" width="13.109375" bestFit="1" customWidth="1"/>
    <col min="13057" max="13057" width="21.33203125" bestFit="1" customWidth="1"/>
    <col min="13058" max="13058" width="13.109375" bestFit="1" customWidth="1"/>
    <col min="13313" max="13313" width="21.33203125" bestFit="1" customWidth="1"/>
    <col min="13314" max="13314" width="13.109375" bestFit="1" customWidth="1"/>
    <col min="13569" max="13569" width="21.33203125" bestFit="1" customWidth="1"/>
    <col min="13570" max="13570" width="13.109375" bestFit="1" customWidth="1"/>
    <col min="13825" max="13825" width="21.33203125" bestFit="1" customWidth="1"/>
    <col min="13826" max="13826" width="13.109375" bestFit="1" customWidth="1"/>
    <col min="14081" max="14081" width="21.33203125" bestFit="1" customWidth="1"/>
    <col min="14082" max="14082" width="13.109375" bestFit="1" customWidth="1"/>
    <col min="14337" max="14337" width="21.33203125" bestFit="1" customWidth="1"/>
    <col min="14338" max="14338" width="13.109375" bestFit="1" customWidth="1"/>
    <col min="14593" max="14593" width="21.33203125" bestFit="1" customWidth="1"/>
    <col min="14594" max="14594" width="13.109375" bestFit="1" customWidth="1"/>
    <col min="14849" max="14849" width="21.33203125" bestFit="1" customWidth="1"/>
    <col min="14850" max="14850" width="13.109375" bestFit="1" customWidth="1"/>
    <col min="15105" max="15105" width="21.33203125" bestFit="1" customWidth="1"/>
    <col min="15106" max="15106" width="13.109375" bestFit="1" customWidth="1"/>
    <col min="15361" max="15361" width="21.33203125" bestFit="1" customWidth="1"/>
    <col min="15362" max="15362" width="13.109375" bestFit="1" customWidth="1"/>
    <col min="15617" max="15617" width="21.33203125" bestFit="1" customWidth="1"/>
    <col min="15618" max="15618" width="13.109375" bestFit="1" customWidth="1"/>
    <col min="15873" max="15873" width="21.33203125" bestFit="1" customWidth="1"/>
    <col min="15874" max="15874" width="13.109375" bestFit="1" customWidth="1"/>
    <col min="16129" max="16129" width="21.33203125" bestFit="1" customWidth="1"/>
    <col min="16130" max="16130" width="13.109375" bestFit="1" customWidth="1"/>
  </cols>
  <sheetData>
    <row r="1" spans="1:2" x14ac:dyDescent="0.3">
      <c r="A1" s="1" t="s">
        <v>166</v>
      </c>
      <c r="B1" s="21">
        <v>21000</v>
      </c>
    </row>
    <row r="2" spans="1:2" x14ac:dyDescent="0.3">
      <c r="A2" s="1" t="s">
        <v>167</v>
      </c>
      <c r="B2" s="21">
        <v>0.1</v>
      </c>
    </row>
    <row r="3" spans="1:2" x14ac:dyDescent="0.3">
      <c r="A3" s="1" t="s">
        <v>168</v>
      </c>
      <c r="B3" s="38">
        <f>B1*B2</f>
        <v>2100</v>
      </c>
    </row>
    <row r="4" spans="1:2" x14ac:dyDescent="0.3">
      <c r="A4" s="1" t="s">
        <v>169</v>
      </c>
      <c r="B4" s="38">
        <f>B1-B3</f>
        <v>18900</v>
      </c>
    </row>
    <row r="5" spans="1:2" x14ac:dyDescent="0.3">
      <c r="A5" s="1" t="s">
        <v>57</v>
      </c>
      <c r="B5" s="1">
        <v>0.15</v>
      </c>
    </row>
    <row r="6" spans="1:2" x14ac:dyDescent="0.3">
      <c r="A6" s="1" t="s">
        <v>114</v>
      </c>
      <c r="B6" s="1">
        <v>12</v>
      </c>
    </row>
    <row r="7" spans="1:2" x14ac:dyDescent="0.3">
      <c r="A7" s="1" t="s">
        <v>170</v>
      </c>
      <c r="B7" s="42">
        <f>B8/B6</f>
        <v>6</v>
      </c>
    </row>
    <row r="8" spans="1:2" x14ac:dyDescent="0.3">
      <c r="A8" s="1" t="s">
        <v>171</v>
      </c>
      <c r="B8" s="1">
        <v>72</v>
      </c>
    </row>
    <row r="9" spans="1:2" x14ac:dyDescent="0.3">
      <c r="A9" s="1" t="s">
        <v>96</v>
      </c>
      <c r="B9" s="42">
        <f>B5/B6</f>
        <v>1.2499999999999999E-2</v>
      </c>
    </row>
    <row r="10" spans="1:2" x14ac:dyDescent="0.3">
      <c r="A10" s="1" t="s">
        <v>97</v>
      </c>
      <c r="B10" s="30">
        <f>PMT(B9,B8,B4)</f>
        <v>-399.64075203965223</v>
      </c>
    </row>
    <row r="11" spans="1:2" x14ac:dyDescent="0.3">
      <c r="A11" s="1" t="s">
        <v>71</v>
      </c>
      <c r="B11" s="42">
        <f>(1+B9)^B6-1</f>
        <v>0.16075451772299854</v>
      </c>
    </row>
    <row r="12" spans="1:2" x14ac:dyDescent="0.3">
      <c r="A12" s="1" t="s">
        <v>71</v>
      </c>
      <c r="B12" s="42">
        <f>EFFECT(B5,B6)</f>
        <v>0.16075451772299854</v>
      </c>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8"/>
  <sheetViews>
    <sheetView zoomScale="130" zoomScaleNormal="130" workbookViewId="0">
      <selection activeCell="B15" sqref="B15"/>
    </sheetView>
  </sheetViews>
  <sheetFormatPr defaultRowHeight="14.4" x14ac:dyDescent="0.3"/>
  <cols>
    <col min="1" max="1" width="12.88671875" bestFit="1" customWidth="1"/>
    <col min="2" max="2" width="11.88671875" bestFit="1" customWidth="1"/>
    <col min="4" max="4" width="12.88671875" bestFit="1" customWidth="1"/>
    <col min="5" max="5" width="11.88671875" bestFit="1" customWidth="1"/>
    <col min="257" max="257" width="12.88671875" bestFit="1" customWidth="1"/>
    <col min="258" max="258" width="11.88671875" bestFit="1" customWidth="1"/>
    <col min="260" max="260" width="12.88671875" bestFit="1" customWidth="1"/>
    <col min="261" max="261" width="11.88671875" bestFit="1" customWidth="1"/>
    <col min="513" max="513" width="12.88671875" bestFit="1" customWidth="1"/>
    <col min="514" max="514" width="11.88671875" bestFit="1" customWidth="1"/>
    <col min="516" max="516" width="12.88671875" bestFit="1" customWidth="1"/>
    <col min="517" max="517" width="11.88671875" bestFit="1" customWidth="1"/>
    <col min="769" max="769" width="12.88671875" bestFit="1" customWidth="1"/>
    <col min="770" max="770" width="11.88671875" bestFit="1" customWidth="1"/>
    <col min="772" max="772" width="12.88671875" bestFit="1" customWidth="1"/>
    <col min="773" max="773" width="11.88671875" bestFit="1" customWidth="1"/>
    <col min="1025" max="1025" width="12.88671875" bestFit="1" customWidth="1"/>
    <col min="1026" max="1026" width="11.88671875" bestFit="1" customWidth="1"/>
    <col min="1028" max="1028" width="12.88671875" bestFit="1" customWidth="1"/>
    <col min="1029" max="1029" width="11.88671875" bestFit="1" customWidth="1"/>
    <col min="1281" max="1281" width="12.88671875" bestFit="1" customWidth="1"/>
    <col min="1282" max="1282" width="11.88671875" bestFit="1" customWidth="1"/>
    <col min="1284" max="1284" width="12.88671875" bestFit="1" customWidth="1"/>
    <col min="1285" max="1285" width="11.88671875" bestFit="1" customWidth="1"/>
    <col min="1537" max="1537" width="12.88671875" bestFit="1" customWidth="1"/>
    <col min="1538" max="1538" width="11.88671875" bestFit="1" customWidth="1"/>
    <col min="1540" max="1540" width="12.88671875" bestFit="1" customWidth="1"/>
    <col min="1541" max="1541" width="11.88671875" bestFit="1" customWidth="1"/>
    <col min="1793" max="1793" width="12.88671875" bestFit="1" customWidth="1"/>
    <col min="1794" max="1794" width="11.88671875" bestFit="1" customWidth="1"/>
    <col min="1796" max="1796" width="12.88671875" bestFit="1" customWidth="1"/>
    <col min="1797" max="1797" width="11.88671875" bestFit="1" customWidth="1"/>
    <col min="2049" max="2049" width="12.88671875" bestFit="1" customWidth="1"/>
    <col min="2050" max="2050" width="11.88671875" bestFit="1" customWidth="1"/>
    <col min="2052" max="2052" width="12.88671875" bestFit="1" customWidth="1"/>
    <col min="2053" max="2053" width="11.88671875" bestFit="1" customWidth="1"/>
    <col min="2305" max="2305" width="12.88671875" bestFit="1" customWidth="1"/>
    <col min="2306" max="2306" width="11.88671875" bestFit="1" customWidth="1"/>
    <col min="2308" max="2308" width="12.88671875" bestFit="1" customWidth="1"/>
    <col min="2309" max="2309" width="11.88671875" bestFit="1" customWidth="1"/>
    <col min="2561" max="2561" width="12.88671875" bestFit="1" customWidth="1"/>
    <col min="2562" max="2562" width="11.88671875" bestFit="1" customWidth="1"/>
    <col min="2564" max="2564" width="12.88671875" bestFit="1" customWidth="1"/>
    <col min="2565" max="2565" width="11.88671875" bestFit="1" customWidth="1"/>
    <col min="2817" max="2817" width="12.88671875" bestFit="1" customWidth="1"/>
    <col min="2818" max="2818" width="11.88671875" bestFit="1" customWidth="1"/>
    <col min="2820" max="2820" width="12.88671875" bestFit="1" customWidth="1"/>
    <col min="2821" max="2821" width="11.88671875" bestFit="1" customWidth="1"/>
    <col min="3073" max="3073" width="12.88671875" bestFit="1" customWidth="1"/>
    <col min="3074" max="3074" width="11.88671875" bestFit="1" customWidth="1"/>
    <col min="3076" max="3076" width="12.88671875" bestFit="1" customWidth="1"/>
    <col min="3077" max="3077" width="11.88671875" bestFit="1" customWidth="1"/>
    <col min="3329" max="3329" width="12.88671875" bestFit="1" customWidth="1"/>
    <col min="3330" max="3330" width="11.88671875" bestFit="1" customWidth="1"/>
    <col min="3332" max="3332" width="12.88671875" bestFit="1" customWidth="1"/>
    <col min="3333" max="3333" width="11.88671875" bestFit="1" customWidth="1"/>
    <col min="3585" max="3585" width="12.88671875" bestFit="1" customWidth="1"/>
    <col min="3586" max="3586" width="11.88671875" bestFit="1" customWidth="1"/>
    <col min="3588" max="3588" width="12.88671875" bestFit="1" customWidth="1"/>
    <col min="3589" max="3589" width="11.88671875" bestFit="1" customWidth="1"/>
    <col min="3841" max="3841" width="12.88671875" bestFit="1" customWidth="1"/>
    <col min="3842" max="3842" width="11.88671875" bestFit="1" customWidth="1"/>
    <col min="3844" max="3844" width="12.88671875" bestFit="1" customWidth="1"/>
    <col min="3845" max="3845" width="11.88671875" bestFit="1" customWidth="1"/>
    <col min="4097" max="4097" width="12.88671875" bestFit="1" customWidth="1"/>
    <col min="4098" max="4098" width="11.88671875" bestFit="1" customWidth="1"/>
    <col min="4100" max="4100" width="12.88671875" bestFit="1" customWidth="1"/>
    <col min="4101" max="4101" width="11.88671875" bestFit="1" customWidth="1"/>
    <col min="4353" max="4353" width="12.88671875" bestFit="1" customWidth="1"/>
    <col min="4354" max="4354" width="11.88671875" bestFit="1" customWidth="1"/>
    <col min="4356" max="4356" width="12.88671875" bestFit="1" customWidth="1"/>
    <col min="4357" max="4357" width="11.88671875" bestFit="1" customWidth="1"/>
    <col min="4609" max="4609" width="12.88671875" bestFit="1" customWidth="1"/>
    <col min="4610" max="4610" width="11.88671875" bestFit="1" customWidth="1"/>
    <col min="4612" max="4612" width="12.88671875" bestFit="1" customWidth="1"/>
    <col min="4613" max="4613" width="11.88671875" bestFit="1" customWidth="1"/>
    <col min="4865" max="4865" width="12.88671875" bestFit="1" customWidth="1"/>
    <col min="4866" max="4866" width="11.88671875" bestFit="1" customWidth="1"/>
    <col min="4868" max="4868" width="12.88671875" bestFit="1" customWidth="1"/>
    <col min="4869" max="4869" width="11.88671875" bestFit="1" customWidth="1"/>
    <col min="5121" max="5121" width="12.88671875" bestFit="1" customWidth="1"/>
    <col min="5122" max="5122" width="11.88671875" bestFit="1" customWidth="1"/>
    <col min="5124" max="5124" width="12.88671875" bestFit="1" customWidth="1"/>
    <col min="5125" max="5125" width="11.88671875" bestFit="1" customWidth="1"/>
    <col min="5377" max="5377" width="12.88671875" bestFit="1" customWidth="1"/>
    <col min="5378" max="5378" width="11.88671875" bestFit="1" customWidth="1"/>
    <col min="5380" max="5380" width="12.88671875" bestFit="1" customWidth="1"/>
    <col min="5381" max="5381" width="11.88671875" bestFit="1" customWidth="1"/>
    <col min="5633" max="5633" width="12.88671875" bestFit="1" customWidth="1"/>
    <col min="5634" max="5634" width="11.88671875" bestFit="1" customWidth="1"/>
    <col min="5636" max="5636" width="12.88671875" bestFit="1" customWidth="1"/>
    <col min="5637" max="5637" width="11.88671875" bestFit="1" customWidth="1"/>
    <col min="5889" max="5889" width="12.88671875" bestFit="1" customWidth="1"/>
    <col min="5890" max="5890" width="11.88671875" bestFit="1" customWidth="1"/>
    <col min="5892" max="5892" width="12.88671875" bestFit="1" customWidth="1"/>
    <col min="5893" max="5893" width="11.88671875" bestFit="1" customWidth="1"/>
    <col min="6145" max="6145" width="12.88671875" bestFit="1" customWidth="1"/>
    <col min="6146" max="6146" width="11.88671875" bestFit="1" customWidth="1"/>
    <col min="6148" max="6148" width="12.88671875" bestFit="1" customWidth="1"/>
    <col min="6149" max="6149" width="11.88671875" bestFit="1" customWidth="1"/>
    <col min="6401" max="6401" width="12.88671875" bestFit="1" customWidth="1"/>
    <col min="6402" max="6402" width="11.88671875" bestFit="1" customWidth="1"/>
    <col min="6404" max="6404" width="12.88671875" bestFit="1" customWidth="1"/>
    <col min="6405" max="6405" width="11.88671875" bestFit="1" customWidth="1"/>
    <col min="6657" max="6657" width="12.88671875" bestFit="1" customWidth="1"/>
    <col min="6658" max="6658" width="11.88671875" bestFit="1" customWidth="1"/>
    <col min="6660" max="6660" width="12.88671875" bestFit="1" customWidth="1"/>
    <col min="6661" max="6661" width="11.88671875" bestFit="1" customWidth="1"/>
    <col min="6913" max="6913" width="12.88671875" bestFit="1" customWidth="1"/>
    <col min="6914" max="6914" width="11.88671875" bestFit="1" customWidth="1"/>
    <col min="6916" max="6916" width="12.88671875" bestFit="1" customWidth="1"/>
    <col min="6917" max="6917" width="11.88671875" bestFit="1" customWidth="1"/>
    <col min="7169" max="7169" width="12.88671875" bestFit="1" customWidth="1"/>
    <col min="7170" max="7170" width="11.88671875" bestFit="1" customWidth="1"/>
    <col min="7172" max="7172" width="12.88671875" bestFit="1" customWidth="1"/>
    <col min="7173" max="7173" width="11.88671875" bestFit="1" customWidth="1"/>
    <col min="7425" max="7425" width="12.88671875" bestFit="1" customWidth="1"/>
    <col min="7426" max="7426" width="11.88671875" bestFit="1" customWidth="1"/>
    <col min="7428" max="7428" width="12.88671875" bestFit="1" customWidth="1"/>
    <col min="7429" max="7429" width="11.88671875" bestFit="1" customWidth="1"/>
    <col min="7681" max="7681" width="12.88671875" bestFit="1" customWidth="1"/>
    <col min="7682" max="7682" width="11.88671875" bestFit="1" customWidth="1"/>
    <col min="7684" max="7684" width="12.88671875" bestFit="1" customWidth="1"/>
    <col min="7685" max="7685" width="11.88671875" bestFit="1" customWidth="1"/>
    <col min="7937" max="7937" width="12.88671875" bestFit="1" customWidth="1"/>
    <col min="7938" max="7938" width="11.88671875" bestFit="1" customWidth="1"/>
    <col min="7940" max="7940" width="12.88671875" bestFit="1" customWidth="1"/>
    <col min="7941" max="7941" width="11.88671875" bestFit="1" customWidth="1"/>
    <col min="8193" max="8193" width="12.88671875" bestFit="1" customWidth="1"/>
    <col min="8194" max="8194" width="11.88671875" bestFit="1" customWidth="1"/>
    <col min="8196" max="8196" width="12.88671875" bestFit="1" customWidth="1"/>
    <col min="8197" max="8197" width="11.88671875" bestFit="1" customWidth="1"/>
    <col min="8449" max="8449" width="12.88671875" bestFit="1" customWidth="1"/>
    <col min="8450" max="8450" width="11.88671875" bestFit="1" customWidth="1"/>
    <col min="8452" max="8452" width="12.88671875" bestFit="1" customWidth="1"/>
    <col min="8453" max="8453" width="11.88671875" bestFit="1" customWidth="1"/>
    <col min="8705" max="8705" width="12.88671875" bestFit="1" customWidth="1"/>
    <col min="8706" max="8706" width="11.88671875" bestFit="1" customWidth="1"/>
    <col min="8708" max="8708" width="12.88671875" bestFit="1" customWidth="1"/>
    <col min="8709" max="8709" width="11.88671875" bestFit="1" customWidth="1"/>
    <col min="8961" max="8961" width="12.88671875" bestFit="1" customWidth="1"/>
    <col min="8962" max="8962" width="11.88671875" bestFit="1" customWidth="1"/>
    <col min="8964" max="8964" width="12.88671875" bestFit="1" customWidth="1"/>
    <col min="8965" max="8965" width="11.88671875" bestFit="1" customWidth="1"/>
    <col min="9217" max="9217" width="12.88671875" bestFit="1" customWidth="1"/>
    <col min="9218" max="9218" width="11.88671875" bestFit="1" customWidth="1"/>
    <col min="9220" max="9220" width="12.88671875" bestFit="1" customWidth="1"/>
    <col min="9221" max="9221" width="11.88671875" bestFit="1" customWidth="1"/>
    <col min="9473" max="9473" width="12.88671875" bestFit="1" customWidth="1"/>
    <col min="9474" max="9474" width="11.88671875" bestFit="1" customWidth="1"/>
    <col min="9476" max="9476" width="12.88671875" bestFit="1" customWidth="1"/>
    <col min="9477" max="9477" width="11.88671875" bestFit="1" customWidth="1"/>
    <col min="9729" max="9729" width="12.88671875" bestFit="1" customWidth="1"/>
    <col min="9730" max="9730" width="11.88671875" bestFit="1" customWidth="1"/>
    <col min="9732" max="9732" width="12.88671875" bestFit="1" customWidth="1"/>
    <col min="9733" max="9733" width="11.88671875" bestFit="1" customWidth="1"/>
    <col min="9985" max="9985" width="12.88671875" bestFit="1" customWidth="1"/>
    <col min="9986" max="9986" width="11.88671875" bestFit="1" customWidth="1"/>
    <col min="9988" max="9988" width="12.88671875" bestFit="1" customWidth="1"/>
    <col min="9989" max="9989" width="11.88671875" bestFit="1" customWidth="1"/>
    <col min="10241" max="10241" width="12.88671875" bestFit="1" customWidth="1"/>
    <col min="10242" max="10242" width="11.88671875" bestFit="1" customWidth="1"/>
    <col min="10244" max="10244" width="12.88671875" bestFit="1" customWidth="1"/>
    <col min="10245" max="10245" width="11.88671875" bestFit="1" customWidth="1"/>
    <col min="10497" max="10497" width="12.88671875" bestFit="1" customWidth="1"/>
    <col min="10498" max="10498" width="11.88671875" bestFit="1" customWidth="1"/>
    <col min="10500" max="10500" width="12.88671875" bestFit="1" customWidth="1"/>
    <col min="10501" max="10501" width="11.88671875" bestFit="1" customWidth="1"/>
    <col min="10753" max="10753" width="12.88671875" bestFit="1" customWidth="1"/>
    <col min="10754" max="10754" width="11.88671875" bestFit="1" customWidth="1"/>
    <col min="10756" max="10756" width="12.88671875" bestFit="1" customWidth="1"/>
    <col min="10757" max="10757" width="11.88671875" bestFit="1" customWidth="1"/>
    <col min="11009" max="11009" width="12.88671875" bestFit="1" customWidth="1"/>
    <col min="11010" max="11010" width="11.88671875" bestFit="1" customWidth="1"/>
    <col min="11012" max="11012" width="12.88671875" bestFit="1" customWidth="1"/>
    <col min="11013" max="11013" width="11.88671875" bestFit="1" customWidth="1"/>
    <col min="11265" max="11265" width="12.88671875" bestFit="1" customWidth="1"/>
    <col min="11266" max="11266" width="11.88671875" bestFit="1" customWidth="1"/>
    <col min="11268" max="11268" width="12.88671875" bestFit="1" customWidth="1"/>
    <col min="11269" max="11269" width="11.88671875" bestFit="1" customWidth="1"/>
    <col min="11521" max="11521" width="12.88671875" bestFit="1" customWidth="1"/>
    <col min="11522" max="11522" width="11.88671875" bestFit="1" customWidth="1"/>
    <col min="11524" max="11524" width="12.88671875" bestFit="1" customWidth="1"/>
    <col min="11525" max="11525" width="11.88671875" bestFit="1" customWidth="1"/>
    <col min="11777" max="11777" width="12.88671875" bestFit="1" customWidth="1"/>
    <col min="11778" max="11778" width="11.88671875" bestFit="1" customWidth="1"/>
    <col min="11780" max="11780" width="12.88671875" bestFit="1" customWidth="1"/>
    <col min="11781" max="11781" width="11.88671875" bestFit="1" customWidth="1"/>
    <col min="12033" max="12033" width="12.88671875" bestFit="1" customWidth="1"/>
    <col min="12034" max="12034" width="11.88671875" bestFit="1" customWidth="1"/>
    <col min="12036" max="12036" width="12.88671875" bestFit="1" customWidth="1"/>
    <col min="12037" max="12037" width="11.88671875" bestFit="1" customWidth="1"/>
    <col min="12289" max="12289" width="12.88671875" bestFit="1" customWidth="1"/>
    <col min="12290" max="12290" width="11.88671875" bestFit="1" customWidth="1"/>
    <col min="12292" max="12292" width="12.88671875" bestFit="1" customWidth="1"/>
    <col min="12293" max="12293" width="11.88671875" bestFit="1" customWidth="1"/>
    <col min="12545" max="12545" width="12.88671875" bestFit="1" customWidth="1"/>
    <col min="12546" max="12546" width="11.88671875" bestFit="1" customWidth="1"/>
    <col min="12548" max="12548" width="12.88671875" bestFit="1" customWidth="1"/>
    <col min="12549" max="12549" width="11.88671875" bestFit="1" customWidth="1"/>
    <col min="12801" max="12801" width="12.88671875" bestFit="1" customWidth="1"/>
    <col min="12802" max="12802" width="11.88671875" bestFit="1" customWidth="1"/>
    <col min="12804" max="12804" width="12.88671875" bestFit="1" customWidth="1"/>
    <col min="12805" max="12805" width="11.88671875" bestFit="1" customWidth="1"/>
    <col min="13057" max="13057" width="12.88671875" bestFit="1" customWidth="1"/>
    <col min="13058" max="13058" width="11.88671875" bestFit="1" customWidth="1"/>
    <col min="13060" max="13060" width="12.88671875" bestFit="1" customWidth="1"/>
    <col min="13061" max="13061" width="11.88671875" bestFit="1" customWidth="1"/>
    <col min="13313" max="13313" width="12.88671875" bestFit="1" customWidth="1"/>
    <col min="13314" max="13314" width="11.88671875" bestFit="1" customWidth="1"/>
    <col min="13316" max="13316" width="12.88671875" bestFit="1" customWidth="1"/>
    <col min="13317" max="13317" width="11.88671875" bestFit="1" customWidth="1"/>
    <col min="13569" max="13569" width="12.88671875" bestFit="1" customWidth="1"/>
    <col min="13570" max="13570" width="11.88671875" bestFit="1" customWidth="1"/>
    <col min="13572" max="13572" width="12.88671875" bestFit="1" customWidth="1"/>
    <col min="13573" max="13573" width="11.88671875" bestFit="1" customWidth="1"/>
    <col min="13825" max="13825" width="12.88671875" bestFit="1" customWidth="1"/>
    <col min="13826" max="13826" width="11.88671875" bestFit="1" customWidth="1"/>
    <col min="13828" max="13828" width="12.88671875" bestFit="1" customWidth="1"/>
    <col min="13829" max="13829" width="11.88671875" bestFit="1" customWidth="1"/>
    <col min="14081" max="14081" width="12.88671875" bestFit="1" customWidth="1"/>
    <col min="14082" max="14082" width="11.88671875" bestFit="1" customWidth="1"/>
    <col min="14084" max="14084" width="12.88671875" bestFit="1" customWidth="1"/>
    <col min="14085" max="14085" width="11.88671875" bestFit="1" customWidth="1"/>
    <col min="14337" max="14337" width="12.88671875" bestFit="1" customWidth="1"/>
    <col min="14338" max="14338" width="11.88671875" bestFit="1" customWidth="1"/>
    <col min="14340" max="14340" width="12.88671875" bestFit="1" customWidth="1"/>
    <col min="14341" max="14341" width="11.88671875" bestFit="1" customWidth="1"/>
    <col min="14593" max="14593" width="12.88671875" bestFit="1" customWidth="1"/>
    <col min="14594" max="14594" width="11.88671875" bestFit="1" customWidth="1"/>
    <col min="14596" max="14596" width="12.88671875" bestFit="1" customWidth="1"/>
    <col min="14597" max="14597" width="11.88671875" bestFit="1" customWidth="1"/>
    <col min="14849" max="14849" width="12.88671875" bestFit="1" customWidth="1"/>
    <col min="14850" max="14850" width="11.88671875" bestFit="1" customWidth="1"/>
    <col min="14852" max="14852" width="12.88671875" bestFit="1" customWidth="1"/>
    <col min="14853" max="14853" width="11.88671875" bestFit="1" customWidth="1"/>
    <col min="15105" max="15105" width="12.88671875" bestFit="1" customWidth="1"/>
    <col min="15106" max="15106" width="11.88671875" bestFit="1" customWidth="1"/>
    <col min="15108" max="15108" width="12.88671875" bestFit="1" customWidth="1"/>
    <col min="15109" max="15109" width="11.88671875" bestFit="1" customWidth="1"/>
    <col min="15361" max="15361" width="12.88671875" bestFit="1" customWidth="1"/>
    <col min="15362" max="15362" width="11.88671875" bestFit="1" customWidth="1"/>
    <col min="15364" max="15364" width="12.88671875" bestFit="1" customWidth="1"/>
    <col min="15365" max="15365" width="11.88671875" bestFit="1" customWidth="1"/>
    <col min="15617" max="15617" width="12.88671875" bestFit="1" customWidth="1"/>
    <col min="15618" max="15618" width="11.88671875" bestFit="1" customWidth="1"/>
    <col min="15620" max="15620" width="12.88671875" bestFit="1" customWidth="1"/>
    <col min="15621" max="15621" width="11.88671875" bestFit="1" customWidth="1"/>
    <col min="15873" max="15873" width="12.88671875" bestFit="1" customWidth="1"/>
    <col min="15874" max="15874" width="11.88671875" bestFit="1" customWidth="1"/>
    <col min="15876" max="15876" width="12.88671875" bestFit="1" customWidth="1"/>
    <col min="15877" max="15877" width="11.88671875" bestFit="1" customWidth="1"/>
    <col min="16129" max="16129" width="12.88671875" bestFit="1" customWidth="1"/>
    <col min="16130" max="16130" width="11.88671875" bestFit="1" customWidth="1"/>
    <col min="16132" max="16132" width="12.88671875" bestFit="1" customWidth="1"/>
    <col min="16133" max="16133" width="11.88671875" bestFit="1" customWidth="1"/>
  </cols>
  <sheetData>
    <row r="1" spans="1:5" x14ac:dyDescent="0.3">
      <c r="A1" s="1" t="s">
        <v>97</v>
      </c>
      <c r="B1" s="1">
        <v>4000</v>
      </c>
      <c r="D1" s="1" t="s">
        <v>97</v>
      </c>
      <c r="E1" s="1">
        <f>B1</f>
        <v>4000</v>
      </c>
    </row>
    <row r="2" spans="1:5" x14ac:dyDescent="0.3">
      <c r="A2" s="1" t="s">
        <v>77</v>
      </c>
      <c r="B2" s="1">
        <v>20</v>
      </c>
      <c r="D2" s="1" t="s">
        <v>77</v>
      </c>
      <c r="E2" s="1">
        <v>40</v>
      </c>
    </row>
    <row r="3" spans="1:5" x14ac:dyDescent="0.3">
      <c r="A3" s="1" t="s">
        <v>70</v>
      </c>
      <c r="B3" s="45">
        <v>9.5000000000000001E-2</v>
      </c>
      <c r="D3" s="1" t="s">
        <v>70</v>
      </c>
      <c r="E3" s="45">
        <f>B3</f>
        <v>9.5000000000000001E-2</v>
      </c>
    </row>
    <row r="4" spans="1:5" x14ac:dyDescent="0.3">
      <c r="A4" s="1" t="s">
        <v>39</v>
      </c>
      <c r="B4" s="29">
        <v>1</v>
      </c>
      <c r="D4" s="1" t="s">
        <v>39</v>
      </c>
      <c r="E4" s="29">
        <f>B4</f>
        <v>1</v>
      </c>
    </row>
    <row r="5" spans="1:5" x14ac:dyDescent="0.3">
      <c r="A5" s="1" t="s">
        <v>95</v>
      </c>
      <c r="B5" s="38"/>
      <c r="D5" s="1" t="s">
        <v>95</v>
      </c>
      <c r="E5" s="38"/>
    </row>
    <row r="7" spans="1:5" x14ac:dyDescent="0.3">
      <c r="A7" s="1" t="s">
        <v>143</v>
      </c>
      <c r="B7" s="38"/>
      <c r="D7" s="1" t="s">
        <v>143</v>
      </c>
      <c r="E7" s="38"/>
    </row>
    <row r="8" spans="1:5" x14ac:dyDescent="0.3">
      <c r="A8" s="1" t="s">
        <v>144</v>
      </c>
      <c r="B8" s="38"/>
      <c r="D8" s="1" t="s">
        <v>144</v>
      </c>
      <c r="E8" s="38"/>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
  <sheetViews>
    <sheetView zoomScale="130" zoomScaleNormal="130" workbookViewId="0">
      <selection activeCell="B15" sqref="B15"/>
    </sheetView>
  </sheetViews>
  <sheetFormatPr defaultRowHeight="14.4" x14ac:dyDescent="0.3"/>
  <cols>
    <col min="1" max="1" width="12.88671875" bestFit="1" customWidth="1"/>
    <col min="2" max="2" width="11.88671875" bestFit="1" customWidth="1"/>
    <col min="4" max="4" width="12.88671875" bestFit="1" customWidth="1"/>
    <col min="5" max="5" width="12.5546875" bestFit="1" customWidth="1"/>
    <col min="257" max="257" width="12.88671875" bestFit="1" customWidth="1"/>
    <col min="258" max="258" width="11.88671875" bestFit="1" customWidth="1"/>
    <col min="260" max="260" width="12.88671875" bestFit="1" customWidth="1"/>
    <col min="261" max="261" width="11.88671875" bestFit="1" customWidth="1"/>
    <col min="513" max="513" width="12.88671875" bestFit="1" customWidth="1"/>
    <col min="514" max="514" width="11.88671875" bestFit="1" customWidth="1"/>
    <col min="516" max="516" width="12.88671875" bestFit="1" customWidth="1"/>
    <col min="517" max="517" width="11.88671875" bestFit="1" customWidth="1"/>
    <col min="769" max="769" width="12.88671875" bestFit="1" customWidth="1"/>
    <col min="770" max="770" width="11.88671875" bestFit="1" customWidth="1"/>
    <col min="772" max="772" width="12.88671875" bestFit="1" customWidth="1"/>
    <col min="773" max="773" width="11.88671875" bestFit="1" customWidth="1"/>
    <col min="1025" max="1025" width="12.88671875" bestFit="1" customWidth="1"/>
    <col min="1026" max="1026" width="11.88671875" bestFit="1" customWidth="1"/>
    <col min="1028" max="1028" width="12.88671875" bestFit="1" customWidth="1"/>
    <col min="1029" max="1029" width="11.88671875" bestFit="1" customWidth="1"/>
    <col min="1281" max="1281" width="12.88671875" bestFit="1" customWidth="1"/>
    <col min="1282" max="1282" width="11.88671875" bestFit="1" customWidth="1"/>
    <col min="1284" max="1284" width="12.88671875" bestFit="1" customWidth="1"/>
    <col min="1285" max="1285" width="11.88671875" bestFit="1" customWidth="1"/>
    <col min="1537" max="1537" width="12.88671875" bestFit="1" customWidth="1"/>
    <col min="1538" max="1538" width="11.88671875" bestFit="1" customWidth="1"/>
    <col min="1540" max="1540" width="12.88671875" bestFit="1" customWidth="1"/>
    <col min="1541" max="1541" width="11.88671875" bestFit="1" customWidth="1"/>
    <col min="1793" max="1793" width="12.88671875" bestFit="1" customWidth="1"/>
    <col min="1794" max="1794" width="11.88671875" bestFit="1" customWidth="1"/>
    <col min="1796" max="1796" width="12.88671875" bestFit="1" customWidth="1"/>
    <col min="1797" max="1797" width="11.88671875" bestFit="1" customWidth="1"/>
    <col min="2049" max="2049" width="12.88671875" bestFit="1" customWidth="1"/>
    <col min="2050" max="2050" width="11.88671875" bestFit="1" customWidth="1"/>
    <col min="2052" max="2052" width="12.88671875" bestFit="1" customWidth="1"/>
    <col min="2053" max="2053" width="11.88671875" bestFit="1" customWidth="1"/>
    <col min="2305" max="2305" width="12.88671875" bestFit="1" customWidth="1"/>
    <col min="2306" max="2306" width="11.88671875" bestFit="1" customWidth="1"/>
    <col min="2308" max="2308" width="12.88671875" bestFit="1" customWidth="1"/>
    <col min="2309" max="2309" width="11.88671875" bestFit="1" customWidth="1"/>
    <col min="2561" max="2561" width="12.88671875" bestFit="1" customWidth="1"/>
    <col min="2562" max="2562" width="11.88671875" bestFit="1" customWidth="1"/>
    <col min="2564" max="2564" width="12.88671875" bestFit="1" customWidth="1"/>
    <col min="2565" max="2565" width="11.88671875" bestFit="1" customWidth="1"/>
    <col min="2817" max="2817" width="12.88671875" bestFit="1" customWidth="1"/>
    <col min="2818" max="2818" width="11.88671875" bestFit="1" customWidth="1"/>
    <col min="2820" max="2820" width="12.88671875" bestFit="1" customWidth="1"/>
    <col min="2821" max="2821" width="11.88671875" bestFit="1" customWidth="1"/>
    <col min="3073" max="3073" width="12.88671875" bestFit="1" customWidth="1"/>
    <col min="3074" max="3074" width="11.88671875" bestFit="1" customWidth="1"/>
    <col min="3076" max="3076" width="12.88671875" bestFit="1" customWidth="1"/>
    <col min="3077" max="3077" width="11.88671875" bestFit="1" customWidth="1"/>
    <col min="3329" max="3329" width="12.88671875" bestFit="1" customWidth="1"/>
    <col min="3330" max="3330" width="11.88671875" bestFit="1" customWidth="1"/>
    <col min="3332" max="3332" width="12.88671875" bestFit="1" customWidth="1"/>
    <col min="3333" max="3333" width="11.88671875" bestFit="1" customWidth="1"/>
    <col min="3585" max="3585" width="12.88671875" bestFit="1" customWidth="1"/>
    <col min="3586" max="3586" width="11.88671875" bestFit="1" customWidth="1"/>
    <col min="3588" max="3588" width="12.88671875" bestFit="1" customWidth="1"/>
    <col min="3589" max="3589" width="11.88671875" bestFit="1" customWidth="1"/>
    <col min="3841" max="3841" width="12.88671875" bestFit="1" customWidth="1"/>
    <col min="3842" max="3842" width="11.88671875" bestFit="1" customWidth="1"/>
    <col min="3844" max="3844" width="12.88671875" bestFit="1" customWidth="1"/>
    <col min="3845" max="3845" width="11.88671875" bestFit="1" customWidth="1"/>
    <col min="4097" max="4097" width="12.88671875" bestFit="1" customWidth="1"/>
    <col min="4098" max="4098" width="11.88671875" bestFit="1" customWidth="1"/>
    <col min="4100" max="4100" width="12.88671875" bestFit="1" customWidth="1"/>
    <col min="4101" max="4101" width="11.88671875" bestFit="1" customWidth="1"/>
    <col min="4353" max="4353" width="12.88671875" bestFit="1" customWidth="1"/>
    <col min="4354" max="4354" width="11.88671875" bestFit="1" customWidth="1"/>
    <col min="4356" max="4356" width="12.88671875" bestFit="1" customWidth="1"/>
    <col min="4357" max="4357" width="11.88671875" bestFit="1" customWidth="1"/>
    <col min="4609" max="4609" width="12.88671875" bestFit="1" customWidth="1"/>
    <col min="4610" max="4610" width="11.88671875" bestFit="1" customWidth="1"/>
    <col min="4612" max="4612" width="12.88671875" bestFit="1" customWidth="1"/>
    <col min="4613" max="4613" width="11.88671875" bestFit="1" customWidth="1"/>
    <col min="4865" max="4865" width="12.88671875" bestFit="1" customWidth="1"/>
    <col min="4866" max="4866" width="11.88671875" bestFit="1" customWidth="1"/>
    <col min="4868" max="4868" width="12.88671875" bestFit="1" customWidth="1"/>
    <col min="4869" max="4869" width="11.88671875" bestFit="1" customWidth="1"/>
    <col min="5121" max="5121" width="12.88671875" bestFit="1" customWidth="1"/>
    <col min="5122" max="5122" width="11.88671875" bestFit="1" customWidth="1"/>
    <col min="5124" max="5124" width="12.88671875" bestFit="1" customWidth="1"/>
    <col min="5125" max="5125" width="11.88671875" bestFit="1" customWidth="1"/>
    <col min="5377" max="5377" width="12.88671875" bestFit="1" customWidth="1"/>
    <col min="5378" max="5378" width="11.88671875" bestFit="1" customWidth="1"/>
    <col min="5380" max="5380" width="12.88671875" bestFit="1" customWidth="1"/>
    <col min="5381" max="5381" width="11.88671875" bestFit="1" customWidth="1"/>
    <col min="5633" max="5633" width="12.88671875" bestFit="1" customWidth="1"/>
    <col min="5634" max="5634" width="11.88671875" bestFit="1" customWidth="1"/>
    <col min="5636" max="5636" width="12.88671875" bestFit="1" customWidth="1"/>
    <col min="5637" max="5637" width="11.88671875" bestFit="1" customWidth="1"/>
    <col min="5889" max="5889" width="12.88671875" bestFit="1" customWidth="1"/>
    <col min="5890" max="5890" width="11.88671875" bestFit="1" customWidth="1"/>
    <col min="5892" max="5892" width="12.88671875" bestFit="1" customWidth="1"/>
    <col min="5893" max="5893" width="11.88671875" bestFit="1" customWidth="1"/>
    <col min="6145" max="6145" width="12.88671875" bestFit="1" customWidth="1"/>
    <col min="6146" max="6146" width="11.88671875" bestFit="1" customWidth="1"/>
    <col min="6148" max="6148" width="12.88671875" bestFit="1" customWidth="1"/>
    <col min="6149" max="6149" width="11.88671875" bestFit="1" customWidth="1"/>
    <col min="6401" max="6401" width="12.88671875" bestFit="1" customWidth="1"/>
    <col min="6402" max="6402" width="11.88671875" bestFit="1" customWidth="1"/>
    <col min="6404" max="6404" width="12.88671875" bestFit="1" customWidth="1"/>
    <col min="6405" max="6405" width="11.88671875" bestFit="1" customWidth="1"/>
    <col min="6657" max="6657" width="12.88671875" bestFit="1" customWidth="1"/>
    <col min="6658" max="6658" width="11.88671875" bestFit="1" customWidth="1"/>
    <col min="6660" max="6660" width="12.88671875" bestFit="1" customWidth="1"/>
    <col min="6661" max="6661" width="11.88671875" bestFit="1" customWidth="1"/>
    <col min="6913" max="6913" width="12.88671875" bestFit="1" customWidth="1"/>
    <col min="6914" max="6914" width="11.88671875" bestFit="1" customWidth="1"/>
    <col min="6916" max="6916" width="12.88671875" bestFit="1" customWidth="1"/>
    <col min="6917" max="6917" width="11.88671875" bestFit="1" customWidth="1"/>
    <col min="7169" max="7169" width="12.88671875" bestFit="1" customWidth="1"/>
    <col min="7170" max="7170" width="11.88671875" bestFit="1" customWidth="1"/>
    <col min="7172" max="7172" width="12.88671875" bestFit="1" customWidth="1"/>
    <col min="7173" max="7173" width="11.88671875" bestFit="1" customWidth="1"/>
    <col min="7425" max="7425" width="12.88671875" bestFit="1" customWidth="1"/>
    <col min="7426" max="7426" width="11.88671875" bestFit="1" customWidth="1"/>
    <col min="7428" max="7428" width="12.88671875" bestFit="1" customWidth="1"/>
    <col min="7429" max="7429" width="11.88671875" bestFit="1" customWidth="1"/>
    <col min="7681" max="7681" width="12.88671875" bestFit="1" customWidth="1"/>
    <col min="7682" max="7682" width="11.88671875" bestFit="1" customWidth="1"/>
    <col min="7684" max="7684" width="12.88671875" bestFit="1" customWidth="1"/>
    <col min="7685" max="7685" width="11.88671875" bestFit="1" customWidth="1"/>
    <col min="7937" max="7937" width="12.88671875" bestFit="1" customWidth="1"/>
    <col min="7938" max="7938" width="11.88671875" bestFit="1" customWidth="1"/>
    <col min="7940" max="7940" width="12.88671875" bestFit="1" customWidth="1"/>
    <col min="7941" max="7941" width="11.88671875" bestFit="1" customWidth="1"/>
    <col min="8193" max="8193" width="12.88671875" bestFit="1" customWidth="1"/>
    <col min="8194" max="8194" width="11.88671875" bestFit="1" customWidth="1"/>
    <col min="8196" max="8196" width="12.88671875" bestFit="1" customWidth="1"/>
    <col min="8197" max="8197" width="11.88671875" bestFit="1" customWidth="1"/>
    <col min="8449" max="8449" width="12.88671875" bestFit="1" customWidth="1"/>
    <col min="8450" max="8450" width="11.88671875" bestFit="1" customWidth="1"/>
    <col min="8452" max="8452" width="12.88671875" bestFit="1" customWidth="1"/>
    <col min="8453" max="8453" width="11.88671875" bestFit="1" customWidth="1"/>
    <col min="8705" max="8705" width="12.88671875" bestFit="1" customWidth="1"/>
    <col min="8706" max="8706" width="11.88671875" bestFit="1" customWidth="1"/>
    <col min="8708" max="8708" width="12.88671875" bestFit="1" customWidth="1"/>
    <col min="8709" max="8709" width="11.88671875" bestFit="1" customWidth="1"/>
    <col min="8961" max="8961" width="12.88671875" bestFit="1" customWidth="1"/>
    <col min="8962" max="8962" width="11.88671875" bestFit="1" customWidth="1"/>
    <col min="8964" max="8964" width="12.88671875" bestFit="1" customWidth="1"/>
    <col min="8965" max="8965" width="11.88671875" bestFit="1" customWidth="1"/>
    <col min="9217" max="9217" width="12.88671875" bestFit="1" customWidth="1"/>
    <col min="9218" max="9218" width="11.88671875" bestFit="1" customWidth="1"/>
    <col min="9220" max="9220" width="12.88671875" bestFit="1" customWidth="1"/>
    <col min="9221" max="9221" width="11.88671875" bestFit="1" customWidth="1"/>
    <col min="9473" max="9473" width="12.88671875" bestFit="1" customWidth="1"/>
    <col min="9474" max="9474" width="11.88671875" bestFit="1" customWidth="1"/>
    <col min="9476" max="9476" width="12.88671875" bestFit="1" customWidth="1"/>
    <col min="9477" max="9477" width="11.88671875" bestFit="1" customWidth="1"/>
    <col min="9729" max="9729" width="12.88671875" bestFit="1" customWidth="1"/>
    <col min="9730" max="9730" width="11.88671875" bestFit="1" customWidth="1"/>
    <col min="9732" max="9732" width="12.88671875" bestFit="1" customWidth="1"/>
    <col min="9733" max="9733" width="11.88671875" bestFit="1" customWidth="1"/>
    <col min="9985" max="9985" width="12.88671875" bestFit="1" customWidth="1"/>
    <col min="9986" max="9986" width="11.88671875" bestFit="1" customWidth="1"/>
    <col min="9988" max="9988" width="12.88671875" bestFit="1" customWidth="1"/>
    <col min="9989" max="9989" width="11.88671875" bestFit="1" customWidth="1"/>
    <col min="10241" max="10241" width="12.88671875" bestFit="1" customWidth="1"/>
    <col min="10242" max="10242" width="11.88671875" bestFit="1" customWidth="1"/>
    <col min="10244" max="10244" width="12.88671875" bestFit="1" customWidth="1"/>
    <col min="10245" max="10245" width="11.88671875" bestFit="1" customWidth="1"/>
    <col min="10497" max="10497" width="12.88671875" bestFit="1" customWidth="1"/>
    <col min="10498" max="10498" width="11.88671875" bestFit="1" customWidth="1"/>
    <col min="10500" max="10500" width="12.88671875" bestFit="1" customWidth="1"/>
    <col min="10501" max="10501" width="11.88671875" bestFit="1" customWidth="1"/>
    <col min="10753" max="10753" width="12.88671875" bestFit="1" customWidth="1"/>
    <col min="10754" max="10754" width="11.88671875" bestFit="1" customWidth="1"/>
    <col min="10756" max="10756" width="12.88671875" bestFit="1" customWidth="1"/>
    <col min="10757" max="10757" width="11.88671875" bestFit="1" customWidth="1"/>
    <col min="11009" max="11009" width="12.88671875" bestFit="1" customWidth="1"/>
    <col min="11010" max="11010" width="11.88671875" bestFit="1" customWidth="1"/>
    <col min="11012" max="11012" width="12.88671875" bestFit="1" customWidth="1"/>
    <col min="11013" max="11013" width="11.88671875" bestFit="1" customWidth="1"/>
    <col min="11265" max="11265" width="12.88671875" bestFit="1" customWidth="1"/>
    <col min="11266" max="11266" width="11.88671875" bestFit="1" customWidth="1"/>
    <col min="11268" max="11268" width="12.88671875" bestFit="1" customWidth="1"/>
    <col min="11269" max="11269" width="11.88671875" bestFit="1" customWidth="1"/>
    <col min="11521" max="11521" width="12.88671875" bestFit="1" customWidth="1"/>
    <col min="11522" max="11522" width="11.88671875" bestFit="1" customWidth="1"/>
    <col min="11524" max="11524" width="12.88671875" bestFit="1" customWidth="1"/>
    <col min="11525" max="11525" width="11.88671875" bestFit="1" customWidth="1"/>
    <col min="11777" max="11777" width="12.88671875" bestFit="1" customWidth="1"/>
    <col min="11778" max="11778" width="11.88671875" bestFit="1" customWidth="1"/>
    <col min="11780" max="11780" width="12.88671875" bestFit="1" customWidth="1"/>
    <col min="11781" max="11781" width="11.88671875" bestFit="1" customWidth="1"/>
    <col min="12033" max="12033" width="12.88671875" bestFit="1" customWidth="1"/>
    <col min="12034" max="12034" width="11.88671875" bestFit="1" customWidth="1"/>
    <col min="12036" max="12036" width="12.88671875" bestFit="1" customWidth="1"/>
    <col min="12037" max="12037" width="11.88671875" bestFit="1" customWidth="1"/>
    <col min="12289" max="12289" width="12.88671875" bestFit="1" customWidth="1"/>
    <col min="12290" max="12290" width="11.88671875" bestFit="1" customWidth="1"/>
    <col min="12292" max="12292" width="12.88671875" bestFit="1" customWidth="1"/>
    <col min="12293" max="12293" width="11.88671875" bestFit="1" customWidth="1"/>
    <col min="12545" max="12545" width="12.88671875" bestFit="1" customWidth="1"/>
    <col min="12546" max="12546" width="11.88671875" bestFit="1" customWidth="1"/>
    <col min="12548" max="12548" width="12.88671875" bestFit="1" customWidth="1"/>
    <col min="12549" max="12549" width="11.88671875" bestFit="1" customWidth="1"/>
    <col min="12801" max="12801" width="12.88671875" bestFit="1" customWidth="1"/>
    <col min="12802" max="12802" width="11.88671875" bestFit="1" customWidth="1"/>
    <col min="12804" max="12804" width="12.88671875" bestFit="1" customWidth="1"/>
    <col min="12805" max="12805" width="11.88671875" bestFit="1" customWidth="1"/>
    <col min="13057" max="13057" width="12.88671875" bestFit="1" customWidth="1"/>
    <col min="13058" max="13058" width="11.88671875" bestFit="1" customWidth="1"/>
    <col min="13060" max="13060" width="12.88671875" bestFit="1" customWidth="1"/>
    <col min="13061" max="13061" width="11.88671875" bestFit="1" customWidth="1"/>
    <col min="13313" max="13313" width="12.88671875" bestFit="1" customWidth="1"/>
    <col min="13314" max="13314" width="11.88671875" bestFit="1" customWidth="1"/>
    <col min="13316" max="13316" width="12.88671875" bestFit="1" customWidth="1"/>
    <col min="13317" max="13317" width="11.88671875" bestFit="1" customWidth="1"/>
    <col min="13569" max="13569" width="12.88671875" bestFit="1" customWidth="1"/>
    <col min="13570" max="13570" width="11.88671875" bestFit="1" customWidth="1"/>
    <col min="13572" max="13572" width="12.88671875" bestFit="1" customWidth="1"/>
    <col min="13573" max="13573" width="11.88671875" bestFit="1" customWidth="1"/>
    <col min="13825" max="13825" width="12.88671875" bestFit="1" customWidth="1"/>
    <col min="13826" max="13826" width="11.88671875" bestFit="1" customWidth="1"/>
    <col min="13828" max="13828" width="12.88671875" bestFit="1" customWidth="1"/>
    <col min="13829" max="13829" width="11.88671875" bestFit="1" customWidth="1"/>
    <col min="14081" max="14081" width="12.88671875" bestFit="1" customWidth="1"/>
    <col min="14082" max="14082" width="11.88671875" bestFit="1" customWidth="1"/>
    <col min="14084" max="14084" width="12.88671875" bestFit="1" customWidth="1"/>
    <col min="14085" max="14085" width="11.88671875" bestFit="1" customWidth="1"/>
    <col min="14337" max="14337" width="12.88671875" bestFit="1" customWidth="1"/>
    <col min="14338" max="14338" width="11.88671875" bestFit="1" customWidth="1"/>
    <col min="14340" max="14340" width="12.88671875" bestFit="1" customWidth="1"/>
    <col min="14341" max="14341" width="11.88671875" bestFit="1" customWidth="1"/>
    <col min="14593" max="14593" width="12.88671875" bestFit="1" customWidth="1"/>
    <col min="14594" max="14594" width="11.88671875" bestFit="1" customWidth="1"/>
    <col min="14596" max="14596" width="12.88671875" bestFit="1" customWidth="1"/>
    <col min="14597" max="14597" width="11.88671875" bestFit="1" customWidth="1"/>
    <col min="14849" max="14849" width="12.88671875" bestFit="1" customWidth="1"/>
    <col min="14850" max="14850" width="11.88671875" bestFit="1" customWidth="1"/>
    <col min="14852" max="14852" width="12.88671875" bestFit="1" customWidth="1"/>
    <col min="14853" max="14853" width="11.88671875" bestFit="1" customWidth="1"/>
    <col min="15105" max="15105" width="12.88671875" bestFit="1" customWidth="1"/>
    <col min="15106" max="15106" width="11.88671875" bestFit="1" customWidth="1"/>
    <col min="15108" max="15108" width="12.88671875" bestFit="1" customWidth="1"/>
    <col min="15109" max="15109" width="11.88671875" bestFit="1" customWidth="1"/>
    <col min="15361" max="15361" width="12.88671875" bestFit="1" customWidth="1"/>
    <col min="15362" max="15362" width="11.88671875" bestFit="1" customWidth="1"/>
    <col min="15364" max="15364" width="12.88671875" bestFit="1" customWidth="1"/>
    <col min="15365" max="15365" width="11.88671875" bestFit="1" customWidth="1"/>
    <col min="15617" max="15617" width="12.88671875" bestFit="1" customWidth="1"/>
    <col min="15618" max="15618" width="11.88671875" bestFit="1" customWidth="1"/>
    <col min="15620" max="15620" width="12.88671875" bestFit="1" customWidth="1"/>
    <col min="15621" max="15621" width="11.88671875" bestFit="1" customWidth="1"/>
    <col min="15873" max="15873" width="12.88671875" bestFit="1" customWidth="1"/>
    <col min="15874" max="15874" width="11.88671875" bestFit="1" customWidth="1"/>
    <col min="15876" max="15876" width="12.88671875" bestFit="1" customWidth="1"/>
    <col min="15877" max="15877" width="11.88671875" bestFit="1" customWidth="1"/>
    <col min="16129" max="16129" width="12.88671875" bestFit="1" customWidth="1"/>
    <col min="16130" max="16130" width="11.88671875" bestFit="1" customWidth="1"/>
    <col min="16132" max="16132" width="12.88671875" bestFit="1" customWidth="1"/>
    <col min="16133" max="16133" width="11.88671875" bestFit="1" customWidth="1"/>
  </cols>
  <sheetData>
    <row r="1" spans="1:5" x14ac:dyDescent="0.3">
      <c r="A1" s="1" t="s">
        <v>97</v>
      </c>
      <c r="B1" s="1">
        <v>4000</v>
      </c>
      <c r="D1" s="1" t="s">
        <v>97</v>
      </c>
      <c r="E1" s="1">
        <f>B1</f>
        <v>4000</v>
      </c>
    </row>
    <row r="2" spans="1:5" x14ac:dyDescent="0.3">
      <c r="A2" s="1" t="s">
        <v>77</v>
      </c>
      <c r="B2" s="1">
        <v>20</v>
      </c>
      <c r="D2" s="1" t="s">
        <v>77</v>
      </c>
      <c r="E2" s="1">
        <v>40</v>
      </c>
    </row>
    <row r="3" spans="1:5" x14ac:dyDescent="0.3">
      <c r="A3" s="1" t="s">
        <v>70</v>
      </c>
      <c r="B3" s="45">
        <v>9.5000000000000001E-2</v>
      </c>
      <c r="D3" s="1" t="s">
        <v>70</v>
      </c>
      <c r="E3" s="45">
        <f>B3</f>
        <v>9.5000000000000001E-2</v>
      </c>
    </row>
    <row r="4" spans="1:5" x14ac:dyDescent="0.3">
      <c r="A4" s="1" t="s">
        <v>39</v>
      </c>
      <c r="B4" s="29">
        <v>1</v>
      </c>
      <c r="D4" s="1" t="s">
        <v>39</v>
      </c>
      <c r="E4" s="29">
        <f>B4</f>
        <v>1</v>
      </c>
    </row>
    <row r="5" spans="1:5" x14ac:dyDescent="0.3">
      <c r="A5" s="1" t="s">
        <v>95</v>
      </c>
      <c r="B5" s="38">
        <f>FV(B3/B4,B4*B2,-B1)</f>
        <v>216488.93069932371</v>
      </c>
      <c r="D5" s="1" t="s">
        <v>95</v>
      </c>
      <c r="E5" s="38">
        <f>FV(E3/E4,E4*E2,-E1)</f>
        <v>1546079.9678878915</v>
      </c>
    </row>
    <row r="7" spans="1:5" x14ac:dyDescent="0.3">
      <c r="A7" s="1" t="s">
        <v>143</v>
      </c>
      <c r="B7" s="38">
        <f>B2*B1</f>
        <v>80000</v>
      </c>
      <c r="D7" s="1" t="s">
        <v>143</v>
      </c>
      <c r="E7" s="38">
        <f>E2*E1</f>
        <v>160000</v>
      </c>
    </row>
    <row r="8" spans="1:5" x14ac:dyDescent="0.3">
      <c r="A8" s="1" t="s">
        <v>144</v>
      </c>
      <c r="B8" s="38">
        <f>B5-B7</f>
        <v>136488.93069932371</v>
      </c>
      <c r="D8" s="1" t="s">
        <v>144</v>
      </c>
      <c r="E8" s="38">
        <f>E5-E7</f>
        <v>1386079.9678878915</v>
      </c>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5"/>
  <sheetViews>
    <sheetView zoomScale="205" zoomScaleNormal="145" workbookViewId="0">
      <selection activeCell="B15" sqref="B15"/>
    </sheetView>
  </sheetViews>
  <sheetFormatPr defaultRowHeight="14.4" x14ac:dyDescent="0.3"/>
  <sheetData>
    <row r="1" spans="1:4" x14ac:dyDescent="0.3">
      <c r="A1" s="54" t="s">
        <v>172</v>
      </c>
      <c r="B1" s="54" t="s">
        <v>3</v>
      </c>
      <c r="C1" s="54" t="s">
        <v>173</v>
      </c>
      <c r="D1" s="54" t="s">
        <v>173</v>
      </c>
    </row>
    <row r="2" spans="1:4" x14ac:dyDescent="0.3">
      <c r="A2" s="77">
        <v>0.08</v>
      </c>
      <c r="B2" s="1">
        <v>4</v>
      </c>
      <c r="C2" s="110"/>
      <c r="D2" s="110"/>
    </row>
    <row r="3" spans="1:4" x14ac:dyDescent="0.3">
      <c r="A3" s="77">
        <v>0.1</v>
      </c>
      <c r="B3" s="1">
        <v>2</v>
      </c>
      <c r="C3" s="110"/>
      <c r="D3" s="110"/>
    </row>
    <row r="4" spans="1:4" x14ac:dyDescent="0.3">
      <c r="A4" s="77">
        <v>0.14000000000000001</v>
      </c>
      <c r="B4" s="1">
        <v>365</v>
      </c>
      <c r="C4" s="110"/>
      <c r="D4" s="110"/>
    </row>
    <row r="5" spans="1:4" x14ac:dyDescent="0.3">
      <c r="A5" s="77">
        <v>0.18</v>
      </c>
      <c r="B5" s="1">
        <v>12</v>
      </c>
      <c r="C5" s="110"/>
      <c r="D5" s="110"/>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
  <sheetViews>
    <sheetView zoomScale="205" zoomScaleNormal="145" workbookViewId="0">
      <selection activeCell="B15" sqref="B15"/>
    </sheetView>
  </sheetViews>
  <sheetFormatPr defaultRowHeight="14.4" x14ac:dyDescent="0.3"/>
  <sheetData>
    <row r="1" spans="1:4" x14ac:dyDescent="0.3">
      <c r="A1" s="54" t="s">
        <v>172</v>
      </c>
      <c r="B1" s="54" t="s">
        <v>3</v>
      </c>
      <c r="C1" s="54" t="s">
        <v>173</v>
      </c>
      <c r="D1" s="54" t="s">
        <v>173</v>
      </c>
    </row>
    <row r="2" spans="1:4" x14ac:dyDescent="0.3">
      <c r="A2" s="77">
        <v>0.08</v>
      </c>
      <c r="B2" s="1">
        <v>4</v>
      </c>
      <c r="C2" s="110">
        <f>(1+A2/B2)^B2-1</f>
        <v>8.2432159999999977E-2</v>
      </c>
      <c r="D2" s="110">
        <f>EFFECT(A2,B2)</f>
        <v>8.2432159999999977E-2</v>
      </c>
    </row>
    <row r="3" spans="1:4" x14ac:dyDescent="0.3">
      <c r="A3" s="77">
        <v>0.1</v>
      </c>
      <c r="B3" s="1">
        <v>2</v>
      </c>
      <c r="C3" s="110">
        <f>(1+A3/B3)^B3-1</f>
        <v>0.10250000000000004</v>
      </c>
      <c r="D3" s="110">
        <f>EFFECT(A3,B3)</f>
        <v>0.10250000000000004</v>
      </c>
    </row>
    <row r="4" spans="1:4" x14ac:dyDescent="0.3">
      <c r="A4" s="77">
        <v>0.14000000000000001</v>
      </c>
      <c r="B4" s="1">
        <v>365</v>
      </c>
      <c r="C4" s="110">
        <f>(1+A4/B4)^B4-1</f>
        <v>0.15024292310302934</v>
      </c>
      <c r="D4" s="110">
        <f>EFFECT(A4,B4)</f>
        <v>0.15024292310302934</v>
      </c>
    </row>
    <row r="5" spans="1:4" x14ac:dyDescent="0.3">
      <c r="A5" s="77">
        <v>0.18</v>
      </c>
      <c r="B5" s="1">
        <v>12</v>
      </c>
      <c r="C5" s="110">
        <f>(1+A5/B5)^B5-1</f>
        <v>0.19561817146153326</v>
      </c>
      <c r="D5" s="110">
        <f>EFFECT(A5,B5)</f>
        <v>0.19561817146153326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5"/>
  <sheetViews>
    <sheetView zoomScale="115" zoomScaleNormal="115" workbookViewId="0">
      <selection activeCell="C5" sqref="C5"/>
    </sheetView>
  </sheetViews>
  <sheetFormatPr defaultRowHeight="14.4" x14ac:dyDescent="0.3"/>
  <cols>
    <col min="1" max="1" width="23.109375" customWidth="1"/>
    <col min="2" max="2" width="18.6640625" customWidth="1"/>
    <col min="3" max="3" width="21.44140625" customWidth="1"/>
    <col min="4" max="4" width="18.5546875" bestFit="1" customWidth="1"/>
    <col min="5" max="5" width="3.88671875" customWidth="1"/>
    <col min="6" max="6" width="19.44140625" bestFit="1" customWidth="1"/>
    <col min="8" max="8" width="10" bestFit="1" customWidth="1"/>
    <col min="10" max="10" width="10.44140625" bestFit="1" customWidth="1"/>
  </cols>
  <sheetData>
    <row r="1" spans="1:6" x14ac:dyDescent="0.3">
      <c r="A1" s="8" t="s">
        <v>9</v>
      </c>
      <c r="B1" s="1" t="s">
        <v>2</v>
      </c>
      <c r="C1" s="4">
        <v>0.15</v>
      </c>
      <c r="D1" t="s">
        <v>250</v>
      </c>
    </row>
    <row r="2" spans="1:6" ht="28.8" x14ac:dyDescent="0.3">
      <c r="A2" s="8" t="s">
        <v>27</v>
      </c>
      <c r="B2" s="1" t="s">
        <v>3</v>
      </c>
      <c r="C2" s="3">
        <v>1</v>
      </c>
    </row>
    <row r="3" spans="1:6" x14ac:dyDescent="0.3">
      <c r="A3" s="8" t="s">
        <v>10</v>
      </c>
      <c r="B3" s="1" t="s">
        <v>4</v>
      </c>
      <c r="C3" s="3">
        <v>4</v>
      </c>
      <c r="F3" s="1" t="s">
        <v>252</v>
      </c>
    </row>
    <row r="4" spans="1:6" x14ac:dyDescent="0.3">
      <c r="A4" s="8" t="s">
        <v>35</v>
      </c>
      <c r="B4" s="1"/>
      <c r="C4" s="19">
        <v>-100000</v>
      </c>
      <c r="F4" s="20">
        <f>-C5+C4</f>
        <v>-6421.8609853452363</v>
      </c>
    </row>
    <row r="5" spans="1:6" x14ac:dyDescent="0.3">
      <c r="A5" s="8" t="s">
        <v>36</v>
      </c>
      <c r="B5" s="1" t="s">
        <v>0</v>
      </c>
      <c r="C5" s="20">
        <f>SUM(D8:D12)</f>
        <v>-93578.139014654764</v>
      </c>
    </row>
    <row r="6" spans="1:6" x14ac:dyDescent="0.3">
      <c r="A6" s="16"/>
      <c r="B6" s="5"/>
    </row>
    <row r="7" spans="1:6" ht="28.8" x14ac:dyDescent="0.3">
      <c r="A7" s="11" t="s">
        <v>25</v>
      </c>
      <c r="B7" s="11" t="s">
        <v>48</v>
      </c>
      <c r="C7" s="11" t="s">
        <v>31</v>
      </c>
      <c r="D7" s="11" t="s">
        <v>32</v>
      </c>
      <c r="F7" s="11" t="s">
        <v>13</v>
      </c>
    </row>
    <row r="8" spans="1:6" x14ac:dyDescent="0.3">
      <c r="A8" s="9" t="s">
        <v>14</v>
      </c>
      <c r="B8" s="1">
        <v>0</v>
      </c>
      <c r="C8" s="21"/>
      <c r="D8" s="20">
        <f>PV($C$1,B8,,C8)</f>
        <v>0</v>
      </c>
      <c r="F8" s="20">
        <f t="shared" ref="F8:F12" si="0">-C8/(1+$C$1)^B8</f>
        <v>0</v>
      </c>
    </row>
    <row r="9" spans="1:6" x14ac:dyDescent="0.3">
      <c r="A9" s="9" t="s">
        <v>15</v>
      </c>
      <c r="B9" s="1">
        <v>1</v>
      </c>
      <c r="C9" s="21">
        <v>50000</v>
      </c>
      <c r="D9" s="20">
        <f t="shared" ref="D9:D12" si="1">PV($C$1,B9,,C9)</f>
        <v>-43478.260869565223</v>
      </c>
      <c r="F9" s="20">
        <f t="shared" si="0"/>
        <v>-43478.260869565223</v>
      </c>
    </row>
    <row r="10" spans="1:6" x14ac:dyDescent="0.3">
      <c r="A10" s="9" t="s">
        <v>16</v>
      </c>
      <c r="B10" s="1">
        <v>2</v>
      </c>
      <c r="C10" s="21">
        <v>50000</v>
      </c>
      <c r="D10" s="20">
        <f t="shared" si="1"/>
        <v>-37807.183364839322</v>
      </c>
      <c r="F10" s="20">
        <f t="shared" si="0"/>
        <v>-37807.183364839322</v>
      </c>
    </row>
    <row r="11" spans="1:6" x14ac:dyDescent="0.3">
      <c r="A11" s="9" t="s">
        <v>17</v>
      </c>
      <c r="B11" s="1">
        <v>3</v>
      </c>
      <c r="C11" s="21">
        <v>10000</v>
      </c>
      <c r="D11" s="20">
        <f t="shared" si="1"/>
        <v>-6575.1623243198837</v>
      </c>
      <c r="F11" s="20">
        <f t="shared" si="0"/>
        <v>-6575.1623243198837</v>
      </c>
    </row>
    <row r="12" spans="1:6" x14ac:dyDescent="0.3">
      <c r="A12" s="9" t="s">
        <v>18</v>
      </c>
      <c r="B12" s="1">
        <v>4</v>
      </c>
      <c r="C12" s="21">
        <v>10000</v>
      </c>
      <c r="D12" s="20">
        <f t="shared" si="1"/>
        <v>-5717.5324559303335</v>
      </c>
      <c r="F12" s="20">
        <f t="shared" si="0"/>
        <v>-5717.5324559303335</v>
      </c>
    </row>
    <row r="14" spans="1:6" x14ac:dyDescent="0.3">
      <c r="F14" s="21">
        <f>SUM(F8:F13)</f>
        <v>-93578.139014654764</v>
      </c>
    </row>
    <row r="15" spans="1:6" x14ac:dyDescent="0.3">
      <c r="A15" s="15"/>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8"/>
  <sheetViews>
    <sheetView zoomScale="220" zoomScaleNormal="145" workbookViewId="0">
      <selection activeCell="B15" sqref="B15"/>
    </sheetView>
  </sheetViews>
  <sheetFormatPr defaultRowHeight="14.4" x14ac:dyDescent="0.3"/>
  <cols>
    <col min="1" max="1" width="11.109375" bestFit="1" customWidth="1"/>
    <col min="2" max="2" width="19.88671875" bestFit="1" customWidth="1"/>
    <col min="257" max="257" width="11.109375" bestFit="1" customWidth="1"/>
    <col min="258" max="258" width="19.88671875" bestFit="1" customWidth="1"/>
    <col min="513" max="513" width="11.109375" bestFit="1" customWidth="1"/>
    <col min="514" max="514" width="19.88671875" bestFit="1" customWidth="1"/>
    <col min="769" max="769" width="11.109375" bestFit="1" customWidth="1"/>
    <col min="770" max="770" width="19.88671875" bestFit="1" customWidth="1"/>
    <col min="1025" max="1025" width="11.109375" bestFit="1" customWidth="1"/>
    <col min="1026" max="1026" width="19.88671875" bestFit="1" customWidth="1"/>
    <col min="1281" max="1281" width="11.109375" bestFit="1" customWidth="1"/>
    <col min="1282" max="1282" width="19.88671875" bestFit="1" customWidth="1"/>
    <col min="1537" max="1537" width="11.109375" bestFit="1" customWidth="1"/>
    <col min="1538" max="1538" width="19.88671875" bestFit="1" customWidth="1"/>
    <col min="1793" max="1793" width="11.109375" bestFit="1" customWidth="1"/>
    <col min="1794" max="1794" width="19.88671875" bestFit="1" customWidth="1"/>
    <col min="2049" max="2049" width="11.109375" bestFit="1" customWidth="1"/>
    <col min="2050" max="2050" width="19.88671875" bestFit="1" customWidth="1"/>
    <col min="2305" max="2305" width="11.109375" bestFit="1" customWidth="1"/>
    <col min="2306" max="2306" width="19.88671875" bestFit="1" customWidth="1"/>
    <col min="2561" max="2561" width="11.109375" bestFit="1" customWidth="1"/>
    <col min="2562" max="2562" width="19.88671875" bestFit="1" customWidth="1"/>
    <col min="2817" max="2817" width="11.109375" bestFit="1" customWidth="1"/>
    <col min="2818" max="2818" width="19.88671875" bestFit="1" customWidth="1"/>
    <col min="3073" max="3073" width="11.109375" bestFit="1" customWidth="1"/>
    <col min="3074" max="3074" width="19.88671875" bestFit="1" customWidth="1"/>
    <col min="3329" max="3329" width="11.109375" bestFit="1" customWidth="1"/>
    <col min="3330" max="3330" width="19.88671875" bestFit="1" customWidth="1"/>
    <col min="3585" max="3585" width="11.109375" bestFit="1" customWidth="1"/>
    <col min="3586" max="3586" width="19.88671875" bestFit="1" customWidth="1"/>
    <col min="3841" max="3841" width="11.109375" bestFit="1" customWidth="1"/>
    <col min="3842" max="3842" width="19.88671875" bestFit="1" customWidth="1"/>
    <col min="4097" max="4097" width="11.109375" bestFit="1" customWidth="1"/>
    <col min="4098" max="4098" width="19.88671875" bestFit="1" customWidth="1"/>
    <col min="4353" max="4353" width="11.109375" bestFit="1" customWidth="1"/>
    <col min="4354" max="4354" width="19.88671875" bestFit="1" customWidth="1"/>
    <col min="4609" max="4609" width="11.109375" bestFit="1" customWidth="1"/>
    <col min="4610" max="4610" width="19.88671875" bestFit="1" customWidth="1"/>
    <col min="4865" max="4865" width="11.109375" bestFit="1" customWidth="1"/>
    <col min="4866" max="4866" width="19.88671875" bestFit="1" customWidth="1"/>
    <col min="5121" max="5121" width="11.109375" bestFit="1" customWidth="1"/>
    <col min="5122" max="5122" width="19.88671875" bestFit="1" customWidth="1"/>
    <col min="5377" max="5377" width="11.109375" bestFit="1" customWidth="1"/>
    <col min="5378" max="5378" width="19.88671875" bestFit="1" customWidth="1"/>
    <col min="5633" max="5633" width="11.109375" bestFit="1" customWidth="1"/>
    <col min="5634" max="5634" width="19.88671875" bestFit="1" customWidth="1"/>
    <col min="5889" max="5889" width="11.109375" bestFit="1" customWidth="1"/>
    <col min="5890" max="5890" width="19.88671875" bestFit="1" customWidth="1"/>
    <col min="6145" max="6145" width="11.109375" bestFit="1" customWidth="1"/>
    <col min="6146" max="6146" width="19.88671875" bestFit="1" customWidth="1"/>
    <col min="6401" max="6401" width="11.109375" bestFit="1" customWidth="1"/>
    <col min="6402" max="6402" width="19.88671875" bestFit="1" customWidth="1"/>
    <col min="6657" max="6657" width="11.109375" bestFit="1" customWidth="1"/>
    <col min="6658" max="6658" width="19.88671875" bestFit="1" customWidth="1"/>
    <col min="6913" max="6913" width="11.109375" bestFit="1" customWidth="1"/>
    <col min="6914" max="6914" width="19.88671875" bestFit="1" customWidth="1"/>
    <col min="7169" max="7169" width="11.109375" bestFit="1" customWidth="1"/>
    <col min="7170" max="7170" width="19.88671875" bestFit="1" customWidth="1"/>
    <col min="7425" max="7425" width="11.109375" bestFit="1" customWidth="1"/>
    <col min="7426" max="7426" width="19.88671875" bestFit="1" customWidth="1"/>
    <col min="7681" max="7681" width="11.109375" bestFit="1" customWidth="1"/>
    <col min="7682" max="7682" width="19.88671875" bestFit="1" customWidth="1"/>
    <col min="7937" max="7937" width="11.109375" bestFit="1" customWidth="1"/>
    <col min="7938" max="7938" width="19.88671875" bestFit="1" customWidth="1"/>
    <col min="8193" max="8193" width="11.109375" bestFit="1" customWidth="1"/>
    <col min="8194" max="8194" width="19.88671875" bestFit="1" customWidth="1"/>
    <col min="8449" max="8449" width="11.109375" bestFit="1" customWidth="1"/>
    <col min="8450" max="8450" width="19.88671875" bestFit="1" customWidth="1"/>
    <col min="8705" max="8705" width="11.109375" bestFit="1" customWidth="1"/>
    <col min="8706" max="8706" width="19.88671875" bestFit="1" customWidth="1"/>
    <col min="8961" max="8961" width="11.109375" bestFit="1" customWidth="1"/>
    <col min="8962" max="8962" width="19.88671875" bestFit="1" customWidth="1"/>
    <col min="9217" max="9217" width="11.109375" bestFit="1" customWidth="1"/>
    <col min="9218" max="9218" width="19.88671875" bestFit="1" customWidth="1"/>
    <col min="9473" max="9473" width="11.109375" bestFit="1" customWidth="1"/>
    <col min="9474" max="9474" width="19.88671875" bestFit="1" customWidth="1"/>
    <col min="9729" max="9729" width="11.109375" bestFit="1" customWidth="1"/>
    <col min="9730" max="9730" width="19.88671875" bestFit="1" customWidth="1"/>
    <col min="9985" max="9985" width="11.109375" bestFit="1" customWidth="1"/>
    <col min="9986" max="9986" width="19.88671875" bestFit="1" customWidth="1"/>
    <col min="10241" max="10241" width="11.109375" bestFit="1" customWidth="1"/>
    <col min="10242" max="10242" width="19.88671875" bestFit="1" customWidth="1"/>
    <col min="10497" max="10497" width="11.109375" bestFit="1" customWidth="1"/>
    <col min="10498" max="10498" width="19.88671875" bestFit="1" customWidth="1"/>
    <col min="10753" max="10753" width="11.109375" bestFit="1" customWidth="1"/>
    <col min="10754" max="10754" width="19.88671875" bestFit="1" customWidth="1"/>
    <col min="11009" max="11009" width="11.109375" bestFit="1" customWidth="1"/>
    <col min="11010" max="11010" width="19.88671875" bestFit="1" customWidth="1"/>
    <col min="11265" max="11265" width="11.109375" bestFit="1" customWidth="1"/>
    <col min="11266" max="11266" width="19.88671875" bestFit="1" customWidth="1"/>
    <col min="11521" max="11521" width="11.109375" bestFit="1" customWidth="1"/>
    <col min="11522" max="11522" width="19.88671875" bestFit="1" customWidth="1"/>
    <col min="11777" max="11777" width="11.109375" bestFit="1" customWidth="1"/>
    <col min="11778" max="11778" width="19.88671875" bestFit="1" customWidth="1"/>
    <col min="12033" max="12033" width="11.109375" bestFit="1" customWidth="1"/>
    <col min="12034" max="12034" width="19.88671875" bestFit="1" customWidth="1"/>
    <col min="12289" max="12289" width="11.109375" bestFit="1" customWidth="1"/>
    <col min="12290" max="12290" width="19.88671875" bestFit="1" customWidth="1"/>
    <col min="12545" max="12545" width="11.109375" bestFit="1" customWidth="1"/>
    <col min="12546" max="12546" width="19.88671875" bestFit="1" customWidth="1"/>
    <col min="12801" max="12801" width="11.109375" bestFit="1" customWidth="1"/>
    <col min="12802" max="12802" width="19.88671875" bestFit="1" customWidth="1"/>
    <col min="13057" max="13057" width="11.109375" bestFit="1" customWidth="1"/>
    <col min="13058" max="13058" width="19.88671875" bestFit="1" customWidth="1"/>
    <col min="13313" max="13313" width="11.109375" bestFit="1" customWidth="1"/>
    <col min="13314" max="13314" width="19.88671875" bestFit="1" customWidth="1"/>
    <col min="13569" max="13569" width="11.109375" bestFit="1" customWidth="1"/>
    <col min="13570" max="13570" width="19.88671875" bestFit="1" customWidth="1"/>
    <col min="13825" max="13825" width="11.109375" bestFit="1" customWidth="1"/>
    <col min="13826" max="13826" width="19.88671875" bestFit="1" customWidth="1"/>
    <col min="14081" max="14081" width="11.109375" bestFit="1" customWidth="1"/>
    <col min="14082" max="14082" width="19.88671875" bestFit="1" customWidth="1"/>
    <col min="14337" max="14337" width="11.109375" bestFit="1" customWidth="1"/>
    <col min="14338" max="14338" width="19.88671875" bestFit="1" customWidth="1"/>
    <col min="14593" max="14593" width="11.109375" bestFit="1" customWidth="1"/>
    <col min="14594" max="14594" width="19.88671875" bestFit="1" customWidth="1"/>
    <col min="14849" max="14849" width="11.109375" bestFit="1" customWidth="1"/>
    <col min="14850" max="14850" width="19.88671875" bestFit="1" customWidth="1"/>
    <col min="15105" max="15105" width="11.109375" bestFit="1" customWidth="1"/>
    <col min="15106" max="15106" width="19.88671875" bestFit="1" customWidth="1"/>
    <col min="15361" max="15361" width="11.109375" bestFit="1" customWidth="1"/>
    <col min="15362" max="15362" width="19.88671875" bestFit="1" customWidth="1"/>
    <col min="15617" max="15617" width="11.109375" bestFit="1" customWidth="1"/>
    <col min="15618" max="15618" width="19.88671875" bestFit="1" customWidth="1"/>
    <col min="15873" max="15873" width="11.109375" bestFit="1" customWidth="1"/>
    <col min="15874" max="15874" width="19.88671875" bestFit="1" customWidth="1"/>
    <col min="16129" max="16129" width="11.109375" bestFit="1" customWidth="1"/>
    <col min="16130" max="16130" width="19.88671875" bestFit="1" customWidth="1"/>
  </cols>
  <sheetData>
    <row r="1" spans="1:4" x14ac:dyDescent="0.3">
      <c r="A1" s="54" t="s">
        <v>172</v>
      </c>
      <c r="B1" s="54" t="s">
        <v>172</v>
      </c>
      <c r="C1" s="54" t="s">
        <v>3</v>
      </c>
      <c r="D1" s="54" t="s">
        <v>173</v>
      </c>
    </row>
    <row r="2" spans="1:4" x14ac:dyDescent="0.3">
      <c r="A2" s="110"/>
      <c r="B2" s="110"/>
      <c r="C2" s="1">
        <v>2</v>
      </c>
      <c r="D2" s="77">
        <v>0.12</v>
      </c>
    </row>
    <row r="3" spans="1:4" x14ac:dyDescent="0.3">
      <c r="A3" s="110"/>
      <c r="B3" s="110"/>
      <c r="C3" s="1">
        <v>12</v>
      </c>
      <c r="D3" s="77">
        <v>0.08</v>
      </c>
    </row>
    <row r="4" spans="1:4" x14ac:dyDescent="0.3">
      <c r="A4" s="110"/>
      <c r="B4" s="110"/>
      <c r="C4" s="1">
        <v>52</v>
      </c>
      <c r="D4" s="77">
        <v>0.13</v>
      </c>
    </row>
    <row r="5" spans="1:4" x14ac:dyDescent="0.3">
      <c r="A5" s="110"/>
      <c r="B5" s="110"/>
      <c r="C5" s="1">
        <v>365</v>
      </c>
      <c r="D5" s="77">
        <v>0.11</v>
      </c>
    </row>
    <row r="7" spans="1:4" x14ac:dyDescent="0.3">
      <c r="B7" t="s">
        <v>174</v>
      </c>
    </row>
    <row r="8" spans="1:4" x14ac:dyDescent="0.3">
      <c r="B8" t="s">
        <v>175</v>
      </c>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
  <sheetViews>
    <sheetView zoomScale="205" zoomScaleNormal="145" workbookViewId="0">
      <selection activeCell="B15" sqref="B15"/>
    </sheetView>
  </sheetViews>
  <sheetFormatPr defaultRowHeight="14.4" x14ac:dyDescent="0.3"/>
  <cols>
    <col min="1" max="1" width="11.109375" bestFit="1" customWidth="1"/>
    <col min="2" max="2" width="23.6640625" customWidth="1"/>
    <col min="257" max="257" width="11.109375" bestFit="1" customWidth="1"/>
    <col min="258" max="258" width="23.6640625" customWidth="1"/>
    <col min="513" max="513" width="11.109375" bestFit="1" customWidth="1"/>
    <col min="514" max="514" width="23.6640625" customWidth="1"/>
    <col min="769" max="769" width="11.109375" bestFit="1" customWidth="1"/>
    <col min="770" max="770" width="23.6640625" customWidth="1"/>
    <col min="1025" max="1025" width="11.109375" bestFit="1" customWidth="1"/>
    <col min="1026" max="1026" width="23.6640625" customWidth="1"/>
    <col min="1281" max="1281" width="11.109375" bestFit="1" customWidth="1"/>
    <col min="1282" max="1282" width="23.6640625" customWidth="1"/>
    <col min="1537" max="1537" width="11.109375" bestFit="1" customWidth="1"/>
    <col min="1538" max="1538" width="23.6640625" customWidth="1"/>
    <col min="1793" max="1793" width="11.109375" bestFit="1" customWidth="1"/>
    <col min="1794" max="1794" width="23.6640625" customWidth="1"/>
    <col min="2049" max="2049" width="11.109375" bestFit="1" customWidth="1"/>
    <col min="2050" max="2050" width="23.6640625" customWidth="1"/>
    <col min="2305" max="2305" width="11.109375" bestFit="1" customWidth="1"/>
    <col min="2306" max="2306" width="23.6640625" customWidth="1"/>
    <col min="2561" max="2561" width="11.109375" bestFit="1" customWidth="1"/>
    <col min="2562" max="2562" width="23.6640625" customWidth="1"/>
    <col min="2817" max="2817" width="11.109375" bestFit="1" customWidth="1"/>
    <col min="2818" max="2818" width="23.6640625" customWidth="1"/>
    <col min="3073" max="3073" width="11.109375" bestFit="1" customWidth="1"/>
    <col min="3074" max="3074" width="23.6640625" customWidth="1"/>
    <col min="3329" max="3329" width="11.109375" bestFit="1" customWidth="1"/>
    <col min="3330" max="3330" width="23.6640625" customWidth="1"/>
    <col min="3585" max="3585" width="11.109375" bestFit="1" customWidth="1"/>
    <col min="3586" max="3586" width="23.6640625" customWidth="1"/>
    <col min="3841" max="3841" width="11.109375" bestFit="1" customWidth="1"/>
    <col min="3842" max="3842" width="23.6640625" customWidth="1"/>
    <col min="4097" max="4097" width="11.109375" bestFit="1" customWidth="1"/>
    <col min="4098" max="4098" width="23.6640625" customWidth="1"/>
    <col min="4353" max="4353" width="11.109375" bestFit="1" customWidth="1"/>
    <col min="4354" max="4354" width="23.6640625" customWidth="1"/>
    <col min="4609" max="4609" width="11.109375" bestFit="1" customWidth="1"/>
    <col min="4610" max="4610" width="23.6640625" customWidth="1"/>
    <col min="4865" max="4865" width="11.109375" bestFit="1" customWidth="1"/>
    <col min="4866" max="4866" width="23.6640625" customWidth="1"/>
    <col min="5121" max="5121" width="11.109375" bestFit="1" customWidth="1"/>
    <col min="5122" max="5122" width="23.6640625" customWidth="1"/>
    <col min="5377" max="5377" width="11.109375" bestFit="1" customWidth="1"/>
    <col min="5378" max="5378" width="23.6640625" customWidth="1"/>
    <col min="5633" max="5633" width="11.109375" bestFit="1" customWidth="1"/>
    <col min="5634" max="5634" width="23.6640625" customWidth="1"/>
    <col min="5889" max="5889" width="11.109375" bestFit="1" customWidth="1"/>
    <col min="5890" max="5890" width="23.6640625" customWidth="1"/>
    <col min="6145" max="6145" width="11.109375" bestFit="1" customWidth="1"/>
    <col min="6146" max="6146" width="23.6640625" customWidth="1"/>
    <col min="6401" max="6401" width="11.109375" bestFit="1" customWidth="1"/>
    <col min="6402" max="6402" width="23.6640625" customWidth="1"/>
    <col min="6657" max="6657" width="11.109375" bestFit="1" customWidth="1"/>
    <col min="6658" max="6658" width="23.6640625" customWidth="1"/>
    <col min="6913" max="6913" width="11.109375" bestFit="1" customWidth="1"/>
    <col min="6914" max="6914" width="23.6640625" customWidth="1"/>
    <col min="7169" max="7169" width="11.109375" bestFit="1" customWidth="1"/>
    <col min="7170" max="7170" width="23.6640625" customWidth="1"/>
    <col min="7425" max="7425" width="11.109375" bestFit="1" customWidth="1"/>
    <col min="7426" max="7426" width="23.6640625" customWidth="1"/>
    <col min="7681" max="7681" width="11.109375" bestFit="1" customWidth="1"/>
    <col min="7682" max="7682" width="23.6640625" customWidth="1"/>
    <col min="7937" max="7937" width="11.109375" bestFit="1" customWidth="1"/>
    <col min="7938" max="7938" width="23.6640625" customWidth="1"/>
    <col min="8193" max="8193" width="11.109375" bestFit="1" customWidth="1"/>
    <col min="8194" max="8194" width="23.6640625" customWidth="1"/>
    <col min="8449" max="8449" width="11.109375" bestFit="1" customWidth="1"/>
    <col min="8450" max="8450" width="23.6640625" customWidth="1"/>
    <col min="8705" max="8705" width="11.109375" bestFit="1" customWidth="1"/>
    <col min="8706" max="8706" width="23.6640625" customWidth="1"/>
    <col min="8961" max="8961" width="11.109375" bestFit="1" customWidth="1"/>
    <col min="8962" max="8962" width="23.6640625" customWidth="1"/>
    <col min="9217" max="9217" width="11.109375" bestFit="1" customWidth="1"/>
    <col min="9218" max="9218" width="23.6640625" customWidth="1"/>
    <col min="9473" max="9473" width="11.109375" bestFit="1" customWidth="1"/>
    <col min="9474" max="9474" width="23.6640625" customWidth="1"/>
    <col min="9729" max="9729" width="11.109375" bestFit="1" customWidth="1"/>
    <col min="9730" max="9730" width="23.6640625" customWidth="1"/>
    <col min="9985" max="9985" width="11.109375" bestFit="1" customWidth="1"/>
    <col min="9986" max="9986" width="23.6640625" customWidth="1"/>
    <col min="10241" max="10241" width="11.109375" bestFit="1" customWidth="1"/>
    <col min="10242" max="10242" width="23.6640625" customWidth="1"/>
    <col min="10497" max="10497" width="11.109375" bestFit="1" customWidth="1"/>
    <col min="10498" max="10498" width="23.6640625" customWidth="1"/>
    <col min="10753" max="10753" width="11.109375" bestFit="1" customWidth="1"/>
    <col min="10754" max="10754" width="23.6640625" customWidth="1"/>
    <col min="11009" max="11009" width="11.109375" bestFit="1" customWidth="1"/>
    <col min="11010" max="11010" width="23.6640625" customWidth="1"/>
    <col min="11265" max="11265" width="11.109375" bestFit="1" customWidth="1"/>
    <col min="11266" max="11266" width="23.6640625" customWidth="1"/>
    <col min="11521" max="11521" width="11.109375" bestFit="1" customWidth="1"/>
    <col min="11522" max="11522" width="23.6640625" customWidth="1"/>
    <col min="11777" max="11777" width="11.109375" bestFit="1" customWidth="1"/>
    <col min="11778" max="11778" width="23.6640625" customWidth="1"/>
    <col min="12033" max="12033" width="11.109375" bestFit="1" customWidth="1"/>
    <col min="12034" max="12034" width="23.6640625" customWidth="1"/>
    <col min="12289" max="12289" width="11.109375" bestFit="1" customWidth="1"/>
    <col min="12290" max="12290" width="23.6640625" customWidth="1"/>
    <col min="12545" max="12545" width="11.109375" bestFit="1" customWidth="1"/>
    <col min="12546" max="12546" width="23.6640625" customWidth="1"/>
    <col min="12801" max="12801" width="11.109375" bestFit="1" customWidth="1"/>
    <col min="12802" max="12802" width="23.6640625" customWidth="1"/>
    <col min="13057" max="13057" width="11.109375" bestFit="1" customWidth="1"/>
    <col min="13058" max="13058" width="23.6640625" customWidth="1"/>
    <col min="13313" max="13313" width="11.109375" bestFit="1" customWidth="1"/>
    <col min="13314" max="13314" width="23.6640625" customWidth="1"/>
    <col min="13569" max="13569" width="11.109375" bestFit="1" customWidth="1"/>
    <col min="13570" max="13570" width="23.6640625" customWidth="1"/>
    <col min="13825" max="13825" width="11.109375" bestFit="1" customWidth="1"/>
    <col min="13826" max="13826" width="23.6640625" customWidth="1"/>
    <col min="14081" max="14081" width="11.109375" bestFit="1" customWidth="1"/>
    <col min="14082" max="14082" width="23.6640625" customWidth="1"/>
    <col min="14337" max="14337" width="11.109375" bestFit="1" customWidth="1"/>
    <col min="14338" max="14338" width="23.6640625" customWidth="1"/>
    <col min="14593" max="14593" width="11.109375" bestFit="1" customWidth="1"/>
    <col min="14594" max="14594" width="23.6640625" customWidth="1"/>
    <col min="14849" max="14849" width="11.109375" bestFit="1" customWidth="1"/>
    <col min="14850" max="14850" width="23.6640625" customWidth="1"/>
    <col min="15105" max="15105" width="11.109375" bestFit="1" customWidth="1"/>
    <col min="15106" max="15106" width="23.6640625" customWidth="1"/>
    <col min="15361" max="15361" width="11.109375" bestFit="1" customWidth="1"/>
    <col min="15362" max="15362" width="23.6640625" customWidth="1"/>
    <col min="15617" max="15617" width="11.109375" bestFit="1" customWidth="1"/>
    <col min="15618" max="15618" width="23.6640625" customWidth="1"/>
    <col min="15873" max="15873" width="11.109375" bestFit="1" customWidth="1"/>
    <col min="15874" max="15874" width="23.6640625" customWidth="1"/>
    <col min="16129" max="16129" width="11.109375" bestFit="1" customWidth="1"/>
    <col min="16130" max="16130" width="23.6640625" customWidth="1"/>
  </cols>
  <sheetData>
    <row r="1" spans="1:4" x14ac:dyDescent="0.3">
      <c r="A1" s="54" t="s">
        <v>172</v>
      </c>
      <c r="B1" s="54" t="s">
        <v>172</v>
      </c>
      <c r="C1" s="54" t="s">
        <v>3</v>
      </c>
      <c r="D1" s="54" t="s">
        <v>173</v>
      </c>
    </row>
    <row r="2" spans="1:4" x14ac:dyDescent="0.3">
      <c r="A2" s="110">
        <f>NOMINAL(D2,C2
)</f>
        <v>0.11660104885167266</v>
      </c>
      <c r="B2" s="110">
        <f>((D2+1)^(1/C2)-1)*C2</f>
        <v>0.11660104885167266</v>
      </c>
      <c r="C2" s="1">
        <v>2</v>
      </c>
      <c r="D2" s="77">
        <v>0.12</v>
      </c>
    </row>
    <row r="3" spans="1:4" x14ac:dyDescent="0.3">
      <c r="A3" s="110">
        <f>NOMINAL(D3,C3
)</f>
        <v>7.7208361320041163E-2</v>
      </c>
      <c r="B3" s="110">
        <f>((D3+1)^(1/C3)-1)*C3</f>
        <v>7.7208361320041163E-2</v>
      </c>
      <c r="C3" s="1">
        <v>12</v>
      </c>
      <c r="D3" s="77">
        <v>0.08</v>
      </c>
    </row>
    <row r="4" spans="1:4" x14ac:dyDescent="0.3">
      <c r="A4" s="110">
        <f>NOMINAL(D4,C4
)</f>
        <v>0.12236137175389761</v>
      </c>
      <c r="B4" s="110">
        <f>((D4+1)^(1/C4)-1)*C4</f>
        <v>0.12236137175389761</v>
      </c>
      <c r="C4" s="1">
        <v>52</v>
      </c>
      <c r="D4" s="77">
        <v>0.13</v>
      </c>
    </row>
    <row r="5" spans="1:4" x14ac:dyDescent="0.3">
      <c r="A5" s="110">
        <f>NOMINAL(D5,C5
)</f>
        <v>0.10437493594181224</v>
      </c>
      <c r="B5" s="110">
        <f>((D5+1)^(1/C5)-1)*C5</f>
        <v>0.10437493594181224</v>
      </c>
      <c r="C5" s="1">
        <v>365</v>
      </c>
      <c r="D5" s="77">
        <v>0.11</v>
      </c>
    </row>
    <row r="7" spans="1:4" x14ac:dyDescent="0.3">
      <c r="B7" t="s">
        <v>174</v>
      </c>
    </row>
    <row r="8" spans="1:4" x14ac:dyDescent="0.3">
      <c r="B8" t="s">
        <v>175</v>
      </c>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7"/>
  <sheetViews>
    <sheetView zoomScale="175" workbookViewId="0">
      <selection activeCell="B15" sqref="B15"/>
    </sheetView>
  </sheetViews>
  <sheetFormatPr defaultRowHeight="14.4" x14ac:dyDescent="0.3"/>
  <cols>
    <col min="1" max="1" width="16.109375" bestFit="1" customWidth="1"/>
    <col min="3" max="3" width="11" bestFit="1" customWidth="1"/>
    <col min="257" max="257" width="16.109375" bestFit="1" customWidth="1"/>
    <col min="259" max="259" width="11" bestFit="1" customWidth="1"/>
    <col min="513" max="513" width="16.109375" bestFit="1" customWidth="1"/>
    <col min="515" max="515" width="11" bestFit="1" customWidth="1"/>
    <col min="769" max="769" width="16.109375" bestFit="1" customWidth="1"/>
    <col min="771" max="771" width="11" bestFit="1" customWidth="1"/>
    <col min="1025" max="1025" width="16.109375" bestFit="1" customWidth="1"/>
    <col min="1027" max="1027" width="11" bestFit="1" customWidth="1"/>
    <col min="1281" max="1281" width="16.109375" bestFit="1" customWidth="1"/>
    <col min="1283" max="1283" width="11" bestFit="1" customWidth="1"/>
    <col min="1537" max="1537" width="16.109375" bestFit="1" customWidth="1"/>
    <col min="1539" max="1539" width="11" bestFit="1" customWidth="1"/>
    <col min="1793" max="1793" width="16.109375" bestFit="1" customWidth="1"/>
    <col min="1795" max="1795" width="11" bestFit="1" customWidth="1"/>
    <col min="2049" max="2049" width="16.109375" bestFit="1" customWidth="1"/>
    <col min="2051" max="2051" width="11" bestFit="1" customWidth="1"/>
    <col min="2305" max="2305" width="16.109375" bestFit="1" customWidth="1"/>
    <col min="2307" max="2307" width="11" bestFit="1" customWidth="1"/>
    <col min="2561" max="2561" width="16.109375" bestFit="1" customWidth="1"/>
    <col min="2563" max="2563" width="11" bestFit="1" customWidth="1"/>
    <col min="2817" max="2817" width="16.109375" bestFit="1" customWidth="1"/>
    <col min="2819" max="2819" width="11" bestFit="1" customWidth="1"/>
    <col min="3073" max="3073" width="16.109375" bestFit="1" customWidth="1"/>
    <col min="3075" max="3075" width="11" bestFit="1" customWidth="1"/>
    <col min="3329" max="3329" width="16.109375" bestFit="1" customWidth="1"/>
    <col min="3331" max="3331" width="11" bestFit="1" customWidth="1"/>
    <col min="3585" max="3585" width="16.109375" bestFit="1" customWidth="1"/>
    <col min="3587" max="3587" width="11" bestFit="1" customWidth="1"/>
    <col min="3841" max="3841" width="16.109375" bestFit="1" customWidth="1"/>
    <col min="3843" max="3843" width="11" bestFit="1" customWidth="1"/>
    <col min="4097" max="4097" width="16.109375" bestFit="1" customWidth="1"/>
    <col min="4099" max="4099" width="11" bestFit="1" customWidth="1"/>
    <col min="4353" max="4353" width="16.109375" bestFit="1" customWidth="1"/>
    <col min="4355" max="4355" width="11" bestFit="1" customWidth="1"/>
    <col min="4609" max="4609" width="16.109375" bestFit="1" customWidth="1"/>
    <col min="4611" max="4611" width="11" bestFit="1" customWidth="1"/>
    <col min="4865" max="4865" width="16.109375" bestFit="1" customWidth="1"/>
    <col min="4867" max="4867" width="11" bestFit="1" customWidth="1"/>
    <col min="5121" max="5121" width="16.109375" bestFit="1" customWidth="1"/>
    <col min="5123" max="5123" width="11" bestFit="1" customWidth="1"/>
    <col min="5377" max="5377" width="16.109375" bestFit="1" customWidth="1"/>
    <col min="5379" max="5379" width="11" bestFit="1" customWidth="1"/>
    <col min="5633" max="5633" width="16.109375" bestFit="1" customWidth="1"/>
    <col min="5635" max="5635" width="11" bestFit="1" customWidth="1"/>
    <col min="5889" max="5889" width="16.109375" bestFit="1" customWidth="1"/>
    <col min="5891" max="5891" width="11" bestFit="1" customWidth="1"/>
    <col min="6145" max="6145" width="16.109375" bestFit="1" customWidth="1"/>
    <col min="6147" max="6147" width="11" bestFit="1" customWidth="1"/>
    <col min="6401" max="6401" width="16.109375" bestFit="1" customWidth="1"/>
    <col min="6403" max="6403" width="11" bestFit="1" customWidth="1"/>
    <col min="6657" max="6657" width="16.109375" bestFit="1" customWidth="1"/>
    <col min="6659" max="6659" width="11" bestFit="1" customWidth="1"/>
    <col min="6913" max="6913" width="16.109375" bestFit="1" customWidth="1"/>
    <col min="6915" max="6915" width="11" bestFit="1" customWidth="1"/>
    <col min="7169" max="7169" width="16.109375" bestFit="1" customWidth="1"/>
    <col min="7171" max="7171" width="11" bestFit="1" customWidth="1"/>
    <col min="7425" max="7425" width="16.109375" bestFit="1" customWidth="1"/>
    <col min="7427" max="7427" width="11" bestFit="1" customWidth="1"/>
    <col min="7681" max="7681" width="16.109375" bestFit="1" customWidth="1"/>
    <col min="7683" max="7683" width="11" bestFit="1" customWidth="1"/>
    <col min="7937" max="7937" width="16.109375" bestFit="1" customWidth="1"/>
    <col min="7939" max="7939" width="11" bestFit="1" customWidth="1"/>
    <col min="8193" max="8193" width="16.109375" bestFit="1" customWidth="1"/>
    <col min="8195" max="8195" width="11" bestFit="1" customWidth="1"/>
    <col min="8449" max="8449" width="16.109375" bestFit="1" customWidth="1"/>
    <col min="8451" max="8451" width="11" bestFit="1" customWidth="1"/>
    <col min="8705" max="8705" width="16.109375" bestFit="1" customWidth="1"/>
    <col min="8707" max="8707" width="11" bestFit="1" customWidth="1"/>
    <col min="8961" max="8961" width="16.109375" bestFit="1" customWidth="1"/>
    <col min="8963" max="8963" width="11" bestFit="1" customWidth="1"/>
    <col min="9217" max="9217" width="16.109375" bestFit="1" customWidth="1"/>
    <col min="9219" max="9219" width="11" bestFit="1" customWidth="1"/>
    <col min="9473" max="9473" width="16.109375" bestFit="1" customWidth="1"/>
    <col min="9475" max="9475" width="11" bestFit="1" customWidth="1"/>
    <col min="9729" max="9729" width="16.109375" bestFit="1" customWidth="1"/>
    <col min="9731" max="9731" width="11" bestFit="1" customWidth="1"/>
    <col min="9985" max="9985" width="16.109375" bestFit="1" customWidth="1"/>
    <col min="9987" max="9987" width="11" bestFit="1" customWidth="1"/>
    <col min="10241" max="10241" width="16.109375" bestFit="1" customWidth="1"/>
    <col min="10243" max="10243" width="11" bestFit="1" customWidth="1"/>
    <col min="10497" max="10497" width="16.109375" bestFit="1" customWidth="1"/>
    <col min="10499" max="10499" width="11" bestFit="1" customWidth="1"/>
    <col min="10753" max="10753" width="16.109375" bestFit="1" customWidth="1"/>
    <col min="10755" max="10755" width="11" bestFit="1" customWidth="1"/>
    <col min="11009" max="11009" width="16.109375" bestFit="1" customWidth="1"/>
    <col min="11011" max="11011" width="11" bestFit="1" customWidth="1"/>
    <col min="11265" max="11265" width="16.109375" bestFit="1" customWidth="1"/>
    <col min="11267" max="11267" width="11" bestFit="1" customWidth="1"/>
    <col min="11521" max="11521" width="16.109375" bestFit="1" customWidth="1"/>
    <col min="11523" max="11523" width="11" bestFit="1" customWidth="1"/>
    <col min="11777" max="11777" width="16.109375" bestFit="1" customWidth="1"/>
    <col min="11779" max="11779" width="11" bestFit="1" customWidth="1"/>
    <col min="12033" max="12033" width="16.109375" bestFit="1" customWidth="1"/>
    <col min="12035" max="12035" width="11" bestFit="1" customWidth="1"/>
    <col min="12289" max="12289" width="16.109375" bestFit="1" customWidth="1"/>
    <col min="12291" max="12291" width="11" bestFit="1" customWidth="1"/>
    <col min="12545" max="12545" width="16.109375" bestFit="1" customWidth="1"/>
    <col min="12547" max="12547" width="11" bestFit="1" customWidth="1"/>
    <col min="12801" max="12801" width="16.109375" bestFit="1" customWidth="1"/>
    <col min="12803" max="12803" width="11" bestFit="1" customWidth="1"/>
    <col min="13057" max="13057" width="16.109375" bestFit="1" customWidth="1"/>
    <col min="13059" max="13059" width="11" bestFit="1" customWidth="1"/>
    <col min="13313" max="13313" width="16.109375" bestFit="1" customWidth="1"/>
    <col min="13315" max="13315" width="11" bestFit="1" customWidth="1"/>
    <col min="13569" max="13569" width="16.109375" bestFit="1" customWidth="1"/>
    <col min="13571" max="13571" width="11" bestFit="1" customWidth="1"/>
    <col min="13825" max="13825" width="16.109375" bestFit="1" customWidth="1"/>
    <col min="13827" max="13827" width="11" bestFit="1" customWidth="1"/>
    <col min="14081" max="14081" width="16.109375" bestFit="1" customWidth="1"/>
    <col min="14083" max="14083" width="11" bestFit="1" customWidth="1"/>
    <col min="14337" max="14337" width="16.109375" bestFit="1" customWidth="1"/>
    <col min="14339" max="14339" width="11" bestFit="1" customWidth="1"/>
    <col min="14593" max="14593" width="16.109375" bestFit="1" customWidth="1"/>
    <col min="14595" max="14595" width="11" bestFit="1" customWidth="1"/>
    <col min="14849" max="14849" width="16.109375" bestFit="1" customWidth="1"/>
    <col min="14851" max="14851" width="11" bestFit="1" customWidth="1"/>
    <col min="15105" max="15105" width="16.109375" bestFit="1" customWidth="1"/>
    <col min="15107" max="15107" width="11" bestFit="1" customWidth="1"/>
    <col min="15361" max="15361" width="16.109375" bestFit="1" customWidth="1"/>
    <col min="15363" max="15363" width="11" bestFit="1" customWidth="1"/>
    <col min="15617" max="15617" width="16.109375" bestFit="1" customWidth="1"/>
    <col min="15619" max="15619" width="11" bestFit="1" customWidth="1"/>
    <col min="15873" max="15873" width="16.109375" bestFit="1" customWidth="1"/>
    <col min="15875" max="15875" width="11" bestFit="1" customWidth="1"/>
    <col min="16129" max="16129" width="16.109375" bestFit="1" customWidth="1"/>
    <col min="16131" max="16131" width="11" bestFit="1" customWidth="1"/>
  </cols>
  <sheetData>
    <row r="1" spans="1:4" x14ac:dyDescent="0.3">
      <c r="A1" s="1" t="s">
        <v>176</v>
      </c>
      <c r="B1" s="1">
        <v>0.15</v>
      </c>
      <c r="C1" s="1"/>
    </row>
    <row r="2" spans="1:4" x14ac:dyDescent="0.3">
      <c r="A2" s="1" t="s">
        <v>39</v>
      </c>
      <c r="B2" s="1">
        <v>12</v>
      </c>
      <c r="C2" s="1"/>
    </row>
    <row r="3" spans="1:4" x14ac:dyDescent="0.3">
      <c r="A3" s="1" t="s">
        <v>70</v>
      </c>
      <c r="B3" s="1">
        <f>B2*B1</f>
        <v>1.7999999999999998</v>
      </c>
      <c r="C3" s="1"/>
    </row>
    <row r="4" spans="1:4" x14ac:dyDescent="0.3">
      <c r="A4" s="1" t="s">
        <v>71</v>
      </c>
      <c r="B4" s="42"/>
      <c r="C4" s="111">
        <f>B4</f>
        <v>0</v>
      </c>
    </row>
    <row r="5" spans="1:4" x14ac:dyDescent="0.3">
      <c r="A5" s="1" t="s">
        <v>71</v>
      </c>
      <c r="B5" s="42"/>
      <c r="C5" s="111">
        <f>B5</f>
        <v>0</v>
      </c>
    </row>
    <row r="7" spans="1:4" x14ac:dyDescent="0.3">
      <c r="A7" s="112"/>
      <c r="B7" s="113"/>
      <c r="C7" s="113"/>
      <c r="D7" s="114"/>
    </row>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205" workbookViewId="0">
      <selection activeCell="B15" sqref="B15"/>
    </sheetView>
  </sheetViews>
  <sheetFormatPr defaultRowHeight="14.4" x14ac:dyDescent="0.3"/>
  <cols>
    <col min="1" max="1" width="16.5546875" bestFit="1" customWidth="1"/>
    <col min="3" max="3" width="11.33203125" bestFit="1" customWidth="1"/>
    <col min="257" max="257" width="16.5546875" bestFit="1" customWidth="1"/>
    <col min="259" max="259" width="11.33203125" bestFit="1" customWidth="1"/>
    <col min="513" max="513" width="16.5546875" bestFit="1" customWidth="1"/>
    <col min="515" max="515" width="11.33203125" bestFit="1" customWidth="1"/>
    <col min="769" max="769" width="16.5546875" bestFit="1" customWidth="1"/>
    <col min="771" max="771" width="11.33203125" bestFit="1" customWidth="1"/>
    <col min="1025" max="1025" width="16.5546875" bestFit="1" customWidth="1"/>
    <col min="1027" max="1027" width="11.33203125" bestFit="1" customWidth="1"/>
    <col min="1281" max="1281" width="16.5546875" bestFit="1" customWidth="1"/>
    <col min="1283" max="1283" width="11.33203125" bestFit="1" customWidth="1"/>
    <col min="1537" max="1537" width="16.5546875" bestFit="1" customWidth="1"/>
    <col min="1539" max="1539" width="11.33203125" bestFit="1" customWidth="1"/>
    <col min="1793" max="1793" width="16.5546875" bestFit="1" customWidth="1"/>
    <col min="1795" max="1795" width="11.33203125" bestFit="1" customWidth="1"/>
    <col min="2049" max="2049" width="16.5546875" bestFit="1" customWidth="1"/>
    <col min="2051" max="2051" width="11.33203125" bestFit="1" customWidth="1"/>
    <col min="2305" max="2305" width="16.5546875" bestFit="1" customWidth="1"/>
    <col min="2307" max="2307" width="11.33203125" bestFit="1" customWidth="1"/>
    <col min="2561" max="2561" width="16.5546875" bestFit="1" customWidth="1"/>
    <col min="2563" max="2563" width="11.33203125" bestFit="1" customWidth="1"/>
    <col min="2817" max="2817" width="16.5546875" bestFit="1" customWidth="1"/>
    <col min="2819" max="2819" width="11.33203125" bestFit="1" customWidth="1"/>
    <col min="3073" max="3073" width="16.5546875" bestFit="1" customWidth="1"/>
    <col min="3075" max="3075" width="11.33203125" bestFit="1" customWidth="1"/>
    <col min="3329" max="3329" width="16.5546875" bestFit="1" customWidth="1"/>
    <col min="3331" max="3331" width="11.33203125" bestFit="1" customWidth="1"/>
    <col min="3585" max="3585" width="16.5546875" bestFit="1" customWidth="1"/>
    <col min="3587" max="3587" width="11.33203125" bestFit="1" customWidth="1"/>
    <col min="3841" max="3841" width="16.5546875" bestFit="1" customWidth="1"/>
    <col min="3843" max="3843" width="11.33203125" bestFit="1" customWidth="1"/>
    <col min="4097" max="4097" width="16.5546875" bestFit="1" customWidth="1"/>
    <col min="4099" max="4099" width="11.33203125" bestFit="1" customWidth="1"/>
    <col min="4353" max="4353" width="16.5546875" bestFit="1" customWidth="1"/>
    <col min="4355" max="4355" width="11.33203125" bestFit="1" customWidth="1"/>
    <col min="4609" max="4609" width="16.5546875" bestFit="1" customWidth="1"/>
    <col min="4611" max="4611" width="11.33203125" bestFit="1" customWidth="1"/>
    <col min="4865" max="4865" width="16.5546875" bestFit="1" customWidth="1"/>
    <col min="4867" max="4867" width="11.33203125" bestFit="1" customWidth="1"/>
    <col min="5121" max="5121" width="16.5546875" bestFit="1" customWidth="1"/>
    <col min="5123" max="5123" width="11.33203125" bestFit="1" customWidth="1"/>
    <col min="5377" max="5377" width="16.5546875" bestFit="1" customWidth="1"/>
    <col min="5379" max="5379" width="11.33203125" bestFit="1" customWidth="1"/>
    <col min="5633" max="5633" width="16.5546875" bestFit="1" customWidth="1"/>
    <col min="5635" max="5635" width="11.33203125" bestFit="1" customWidth="1"/>
    <col min="5889" max="5889" width="16.5546875" bestFit="1" customWidth="1"/>
    <col min="5891" max="5891" width="11.33203125" bestFit="1" customWidth="1"/>
    <col min="6145" max="6145" width="16.5546875" bestFit="1" customWidth="1"/>
    <col min="6147" max="6147" width="11.33203125" bestFit="1" customWidth="1"/>
    <col min="6401" max="6401" width="16.5546875" bestFit="1" customWidth="1"/>
    <col min="6403" max="6403" width="11.33203125" bestFit="1" customWidth="1"/>
    <col min="6657" max="6657" width="16.5546875" bestFit="1" customWidth="1"/>
    <col min="6659" max="6659" width="11.33203125" bestFit="1" customWidth="1"/>
    <col min="6913" max="6913" width="16.5546875" bestFit="1" customWidth="1"/>
    <col min="6915" max="6915" width="11.33203125" bestFit="1" customWidth="1"/>
    <col min="7169" max="7169" width="16.5546875" bestFit="1" customWidth="1"/>
    <col min="7171" max="7171" width="11.33203125" bestFit="1" customWidth="1"/>
    <col min="7425" max="7425" width="16.5546875" bestFit="1" customWidth="1"/>
    <col min="7427" max="7427" width="11.33203125" bestFit="1" customWidth="1"/>
    <col min="7681" max="7681" width="16.5546875" bestFit="1" customWidth="1"/>
    <col min="7683" max="7683" width="11.33203125" bestFit="1" customWidth="1"/>
    <col min="7937" max="7937" width="16.5546875" bestFit="1" customWidth="1"/>
    <col min="7939" max="7939" width="11.33203125" bestFit="1" customWidth="1"/>
    <col min="8193" max="8193" width="16.5546875" bestFit="1" customWidth="1"/>
    <col min="8195" max="8195" width="11.33203125" bestFit="1" customWidth="1"/>
    <col min="8449" max="8449" width="16.5546875" bestFit="1" customWidth="1"/>
    <col min="8451" max="8451" width="11.33203125" bestFit="1" customWidth="1"/>
    <col min="8705" max="8705" width="16.5546875" bestFit="1" customWidth="1"/>
    <col min="8707" max="8707" width="11.33203125" bestFit="1" customWidth="1"/>
    <col min="8961" max="8961" width="16.5546875" bestFit="1" customWidth="1"/>
    <col min="8963" max="8963" width="11.33203125" bestFit="1" customWidth="1"/>
    <col min="9217" max="9217" width="16.5546875" bestFit="1" customWidth="1"/>
    <col min="9219" max="9219" width="11.33203125" bestFit="1" customWidth="1"/>
    <col min="9473" max="9473" width="16.5546875" bestFit="1" customWidth="1"/>
    <col min="9475" max="9475" width="11.33203125" bestFit="1" customWidth="1"/>
    <col min="9729" max="9729" width="16.5546875" bestFit="1" customWidth="1"/>
    <col min="9731" max="9731" width="11.33203125" bestFit="1" customWidth="1"/>
    <col min="9985" max="9985" width="16.5546875" bestFit="1" customWidth="1"/>
    <col min="9987" max="9987" width="11.33203125" bestFit="1" customWidth="1"/>
    <col min="10241" max="10241" width="16.5546875" bestFit="1" customWidth="1"/>
    <col min="10243" max="10243" width="11.33203125" bestFit="1" customWidth="1"/>
    <col min="10497" max="10497" width="16.5546875" bestFit="1" customWidth="1"/>
    <col min="10499" max="10499" width="11.33203125" bestFit="1" customWidth="1"/>
    <col min="10753" max="10753" width="16.5546875" bestFit="1" customWidth="1"/>
    <col min="10755" max="10755" width="11.33203125" bestFit="1" customWidth="1"/>
    <col min="11009" max="11009" width="16.5546875" bestFit="1" customWidth="1"/>
    <col min="11011" max="11011" width="11.33203125" bestFit="1" customWidth="1"/>
    <col min="11265" max="11265" width="16.5546875" bestFit="1" customWidth="1"/>
    <col min="11267" max="11267" width="11.33203125" bestFit="1" customWidth="1"/>
    <col min="11521" max="11521" width="16.5546875" bestFit="1" customWidth="1"/>
    <col min="11523" max="11523" width="11.33203125" bestFit="1" customWidth="1"/>
    <col min="11777" max="11777" width="16.5546875" bestFit="1" customWidth="1"/>
    <col min="11779" max="11779" width="11.33203125" bestFit="1" customWidth="1"/>
    <col min="12033" max="12033" width="16.5546875" bestFit="1" customWidth="1"/>
    <col min="12035" max="12035" width="11.33203125" bestFit="1" customWidth="1"/>
    <col min="12289" max="12289" width="16.5546875" bestFit="1" customWidth="1"/>
    <col min="12291" max="12291" width="11.33203125" bestFit="1" customWidth="1"/>
    <col min="12545" max="12545" width="16.5546875" bestFit="1" customWidth="1"/>
    <col min="12547" max="12547" width="11.33203125" bestFit="1" customWidth="1"/>
    <col min="12801" max="12801" width="16.5546875" bestFit="1" customWidth="1"/>
    <col min="12803" max="12803" width="11.33203125" bestFit="1" customWidth="1"/>
    <col min="13057" max="13057" width="16.5546875" bestFit="1" customWidth="1"/>
    <col min="13059" max="13059" width="11.33203125" bestFit="1" customWidth="1"/>
    <col min="13313" max="13313" width="16.5546875" bestFit="1" customWidth="1"/>
    <col min="13315" max="13315" width="11.33203125" bestFit="1" customWidth="1"/>
    <col min="13569" max="13569" width="16.5546875" bestFit="1" customWidth="1"/>
    <col min="13571" max="13571" width="11.33203125" bestFit="1" customWidth="1"/>
    <col min="13825" max="13825" width="16.5546875" bestFit="1" customWidth="1"/>
    <col min="13827" max="13827" width="11.33203125" bestFit="1" customWidth="1"/>
    <col min="14081" max="14081" width="16.5546875" bestFit="1" customWidth="1"/>
    <col min="14083" max="14083" width="11.33203125" bestFit="1" customWidth="1"/>
    <col min="14337" max="14337" width="16.5546875" bestFit="1" customWidth="1"/>
    <col min="14339" max="14339" width="11.33203125" bestFit="1" customWidth="1"/>
    <col min="14593" max="14593" width="16.5546875" bestFit="1" customWidth="1"/>
    <col min="14595" max="14595" width="11.33203125" bestFit="1" customWidth="1"/>
    <col min="14849" max="14849" width="16.5546875" bestFit="1" customWidth="1"/>
    <col min="14851" max="14851" width="11.33203125" bestFit="1" customWidth="1"/>
    <col min="15105" max="15105" width="16.5546875" bestFit="1" customWidth="1"/>
    <col min="15107" max="15107" width="11.33203125" bestFit="1" customWidth="1"/>
    <col min="15361" max="15361" width="16.5546875" bestFit="1" customWidth="1"/>
    <col min="15363" max="15363" width="11.33203125" bestFit="1" customWidth="1"/>
    <col min="15617" max="15617" width="16.5546875" bestFit="1" customWidth="1"/>
    <col min="15619" max="15619" width="11.33203125" bestFit="1" customWidth="1"/>
    <col min="15873" max="15873" width="16.5546875" bestFit="1" customWidth="1"/>
    <col min="15875" max="15875" width="11.33203125" bestFit="1" customWidth="1"/>
    <col min="16129" max="16129" width="16.5546875" bestFit="1" customWidth="1"/>
    <col min="16131" max="16131" width="11.33203125" bestFit="1" customWidth="1"/>
  </cols>
  <sheetData>
    <row r="1" spans="1:4" x14ac:dyDescent="0.3">
      <c r="A1" s="1" t="s">
        <v>176</v>
      </c>
      <c r="B1" s="1">
        <v>0.15</v>
      </c>
      <c r="C1" s="1"/>
    </row>
    <row r="2" spans="1:4" x14ac:dyDescent="0.3">
      <c r="A2" s="1" t="s">
        <v>39</v>
      </c>
      <c r="B2" s="1">
        <v>12</v>
      </c>
      <c r="C2" s="1"/>
    </row>
    <row r="3" spans="1:4" x14ac:dyDescent="0.3">
      <c r="A3" s="1" t="s">
        <v>70</v>
      </c>
      <c r="B3" s="1">
        <f>B2*B1</f>
        <v>1.7999999999999998</v>
      </c>
      <c r="C3" s="1"/>
    </row>
    <row r="4" spans="1:4" x14ac:dyDescent="0.3">
      <c r="A4" s="1" t="s">
        <v>71</v>
      </c>
      <c r="B4" s="42">
        <f>(1+B1)^B2-1</f>
        <v>4.3502501054737053</v>
      </c>
      <c r="C4" s="111">
        <f>B4</f>
        <v>4.3502501054737053</v>
      </c>
    </row>
    <row r="5" spans="1:4" x14ac:dyDescent="0.3">
      <c r="A5" s="1" t="s">
        <v>71</v>
      </c>
      <c r="B5" s="42">
        <f>EFFECT(B3,B2)</f>
        <v>4.3502501054737053</v>
      </c>
      <c r="C5" s="111">
        <f>B5</f>
        <v>4.3502501054737053</v>
      </c>
    </row>
    <row r="7" spans="1:4" ht="43.2" x14ac:dyDescent="0.3">
      <c r="A7" s="115" t="s">
        <v>248</v>
      </c>
      <c r="B7" s="115"/>
      <c r="C7" s="115"/>
      <c r="D7" s="115"/>
    </row>
  </sheetData>
  <pageMargins left="0.7" right="0.7" top="0.75" bottom="0.75" header="0.3" footer="0.3"/>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8"/>
  <sheetViews>
    <sheetView zoomScale="220" workbookViewId="0">
      <selection activeCell="B15" sqref="B15"/>
    </sheetView>
  </sheetViews>
  <sheetFormatPr defaultRowHeight="14.4" x14ac:dyDescent="0.3"/>
  <cols>
    <col min="1" max="1" width="18.33203125" bestFit="1" customWidth="1"/>
    <col min="2" max="2" width="10.5546875" bestFit="1" customWidth="1"/>
    <col min="257" max="257" width="18.33203125" bestFit="1" customWidth="1"/>
    <col min="258" max="258" width="10.5546875" bestFit="1" customWidth="1"/>
    <col min="513" max="513" width="18.33203125" bestFit="1" customWidth="1"/>
    <col min="514" max="514" width="10.5546875" bestFit="1" customWidth="1"/>
    <col min="769" max="769" width="18.33203125" bestFit="1" customWidth="1"/>
    <col min="770" max="770" width="10.5546875" bestFit="1" customWidth="1"/>
    <col min="1025" max="1025" width="18.33203125" bestFit="1" customWidth="1"/>
    <col min="1026" max="1026" width="10.5546875" bestFit="1" customWidth="1"/>
    <col min="1281" max="1281" width="18.33203125" bestFit="1" customWidth="1"/>
    <col min="1282" max="1282" width="10.5546875" bestFit="1" customWidth="1"/>
    <col min="1537" max="1537" width="18.33203125" bestFit="1" customWidth="1"/>
    <col min="1538" max="1538" width="10.5546875" bestFit="1" customWidth="1"/>
    <col min="1793" max="1793" width="18.33203125" bestFit="1" customWidth="1"/>
    <col min="1794" max="1794" width="10.5546875" bestFit="1" customWidth="1"/>
    <col min="2049" max="2049" width="18.33203125" bestFit="1" customWidth="1"/>
    <col min="2050" max="2050" width="10.5546875" bestFit="1" customWidth="1"/>
    <col min="2305" max="2305" width="18.33203125" bestFit="1" customWidth="1"/>
    <col min="2306" max="2306" width="10.5546875" bestFit="1" customWidth="1"/>
    <col min="2561" max="2561" width="18.33203125" bestFit="1" customWidth="1"/>
    <col min="2562" max="2562" width="10.5546875" bestFit="1" customWidth="1"/>
    <col min="2817" max="2817" width="18.33203125" bestFit="1" customWidth="1"/>
    <col min="2818" max="2818" width="10.5546875" bestFit="1" customWidth="1"/>
    <col min="3073" max="3073" width="18.33203125" bestFit="1" customWidth="1"/>
    <col min="3074" max="3074" width="10.5546875" bestFit="1" customWidth="1"/>
    <col min="3329" max="3329" width="18.33203125" bestFit="1" customWidth="1"/>
    <col min="3330" max="3330" width="10.5546875" bestFit="1" customWidth="1"/>
    <col min="3585" max="3585" width="18.33203125" bestFit="1" customWidth="1"/>
    <col min="3586" max="3586" width="10.5546875" bestFit="1" customWidth="1"/>
    <col min="3841" max="3841" width="18.33203125" bestFit="1" customWidth="1"/>
    <col min="3842" max="3842" width="10.5546875" bestFit="1" customWidth="1"/>
    <col min="4097" max="4097" width="18.33203125" bestFit="1" customWidth="1"/>
    <col min="4098" max="4098" width="10.5546875" bestFit="1" customWidth="1"/>
    <col min="4353" max="4353" width="18.33203125" bestFit="1" customWidth="1"/>
    <col min="4354" max="4354" width="10.5546875" bestFit="1" customWidth="1"/>
    <col min="4609" max="4609" width="18.33203125" bestFit="1" customWidth="1"/>
    <col min="4610" max="4610" width="10.5546875" bestFit="1" customWidth="1"/>
    <col min="4865" max="4865" width="18.33203125" bestFit="1" customWidth="1"/>
    <col min="4866" max="4866" width="10.5546875" bestFit="1" customWidth="1"/>
    <col min="5121" max="5121" width="18.33203125" bestFit="1" customWidth="1"/>
    <col min="5122" max="5122" width="10.5546875" bestFit="1" customWidth="1"/>
    <col min="5377" max="5377" width="18.33203125" bestFit="1" customWidth="1"/>
    <col min="5378" max="5378" width="10.5546875" bestFit="1" customWidth="1"/>
    <col min="5633" max="5633" width="18.33203125" bestFit="1" customWidth="1"/>
    <col min="5634" max="5634" width="10.5546875" bestFit="1" customWidth="1"/>
    <col min="5889" max="5889" width="18.33203125" bestFit="1" customWidth="1"/>
    <col min="5890" max="5890" width="10.5546875" bestFit="1" customWidth="1"/>
    <col min="6145" max="6145" width="18.33203125" bestFit="1" customWidth="1"/>
    <col min="6146" max="6146" width="10.5546875" bestFit="1" customWidth="1"/>
    <col min="6401" max="6401" width="18.33203125" bestFit="1" customWidth="1"/>
    <col min="6402" max="6402" width="10.5546875" bestFit="1" customWidth="1"/>
    <col min="6657" max="6657" width="18.33203125" bestFit="1" customWidth="1"/>
    <col min="6658" max="6658" width="10.5546875" bestFit="1" customWidth="1"/>
    <col min="6913" max="6913" width="18.33203125" bestFit="1" customWidth="1"/>
    <col min="6914" max="6914" width="10.5546875" bestFit="1" customWidth="1"/>
    <col min="7169" max="7169" width="18.33203125" bestFit="1" customWidth="1"/>
    <col min="7170" max="7170" width="10.5546875" bestFit="1" customWidth="1"/>
    <col min="7425" max="7425" width="18.33203125" bestFit="1" customWidth="1"/>
    <col min="7426" max="7426" width="10.5546875" bestFit="1" customWidth="1"/>
    <col min="7681" max="7681" width="18.33203125" bestFit="1" customWidth="1"/>
    <col min="7682" max="7682" width="10.5546875" bestFit="1" customWidth="1"/>
    <col min="7937" max="7937" width="18.33203125" bestFit="1" customWidth="1"/>
    <col min="7938" max="7938" width="10.5546875" bestFit="1" customWidth="1"/>
    <col min="8193" max="8193" width="18.33203125" bestFit="1" customWidth="1"/>
    <col min="8194" max="8194" width="10.5546875" bestFit="1" customWidth="1"/>
    <col min="8449" max="8449" width="18.33203125" bestFit="1" customWidth="1"/>
    <col min="8450" max="8450" width="10.5546875" bestFit="1" customWidth="1"/>
    <col min="8705" max="8705" width="18.33203125" bestFit="1" customWidth="1"/>
    <col min="8706" max="8706" width="10.5546875" bestFit="1" customWidth="1"/>
    <col min="8961" max="8961" width="18.33203125" bestFit="1" customWidth="1"/>
    <col min="8962" max="8962" width="10.5546875" bestFit="1" customWidth="1"/>
    <col min="9217" max="9217" width="18.33203125" bestFit="1" customWidth="1"/>
    <col min="9218" max="9218" width="10.5546875" bestFit="1" customWidth="1"/>
    <col min="9473" max="9473" width="18.33203125" bestFit="1" customWidth="1"/>
    <col min="9474" max="9474" width="10.5546875" bestFit="1" customWidth="1"/>
    <col min="9729" max="9729" width="18.33203125" bestFit="1" customWidth="1"/>
    <col min="9730" max="9730" width="10.5546875" bestFit="1" customWidth="1"/>
    <col min="9985" max="9985" width="18.33203125" bestFit="1" customWidth="1"/>
    <col min="9986" max="9986" width="10.5546875" bestFit="1" customWidth="1"/>
    <col min="10241" max="10241" width="18.33203125" bestFit="1" customWidth="1"/>
    <col min="10242" max="10242" width="10.5546875" bestFit="1" customWidth="1"/>
    <col min="10497" max="10497" width="18.33203125" bestFit="1" customWidth="1"/>
    <col min="10498" max="10498" width="10.5546875" bestFit="1" customWidth="1"/>
    <col min="10753" max="10753" width="18.33203125" bestFit="1" customWidth="1"/>
    <col min="10754" max="10754" width="10.5546875" bestFit="1" customWidth="1"/>
    <col min="11009" max="11009" width="18.33203125" bestFit="1" customWidth="1"/>
    <col min="11010" max="11010" width="10.5546875" bestFit="1" customWidth="1"/>
    <col min="11265" max="11265" width="18.33203125" bestFit="1" customWidth="1"/>
    <col min="11266" max="11266" width="10.5546875" bestFit="1" customWidth="1"/>
    <col min="11521" max="11521" width="18.33203125" bestFit="1" customWidth="1"/>
    <col min="11522" max="11522" width="10.5546875" bestFit="1" customWidth="1"/>
    <col min="11777" max="11777" width="18.33203125" bestFit="1" customWidth="1"/>
    <col min="11778" max="11778" width="10.5546875" bestFit="1" customWidth="1"/>
    <col min="12033" max="12033" width="18.33203125" bestFit="1" customWidth="1"/>
    <col min="12034" max="12034" width="10.5546875" bestFit="1" customWidth="1"/>
    <col min="12289" max="12289" width="18.33203125" bestFit="1" customWidth="1"/>
    <col min="12290" max="12290" width="10.5546875" bestFit="1" customWidth="1"/>
    <col min="12545" max="12545" width="18.33203125" bestFit="1" customWidth="1"/>
    <col min="12546" max="12546" width="10.5546875" bestFit="1" customWidth="1"/>
    <col min="12801" max="12801" width="18.33203125" bestFit="1" customWidth="1"/>
    <col min="12802" max="12802" width="10.5546875" bestFit="1" customWidth="1"/>
    <col min="13057" max="13057" width="18.33203125" bestFit="1" customWidth="1"/>
    <col min="13058" max="13058" width="10.5546875" bestFit="1" customWidth="1"/>
    <col min="13313" max="13313" width="18.33203125" bestFit="1" customWidth="1"/>
    <col min="13314" max="13314" width="10.5546875" bestFit="1" customWidth="1"/>
    <col min="13569" max="13569" width="18.33203125" bestFit="1" customWidth="1"/>
    <col min="13570" max="13570" width="10.5546875" bestFit="1" customWidth="1"/>
    <col min="13825" max="13825" width="18.33203125" bestFit="1" customWidth="1"/>
    <col min="13826" max="13826" width="10.5546875" bestFit="1" customWidth="1"/>
    <col min="14081" max="14081" width="18.33203125" bestFit="1" customWidth="1"/>
    <col min="14082" max="14082" width="10.5546875" bestFit="1" customWidth="1"/>
    <col min="14337" max="14337" width="18.33203125" bestFit="1" customWidth="1"/>
    <col min="14338" max="14338" width="10.5546875" bestFit="1" customWidth="1"/>
    <col min="14593" max="14593" width="18.33203125" bestFit="1" customWidth="1"/>
    <col min="14594" max="14594" width="10.5546875" bestFit="1" customWidth="1"/>
    <col min="14849" max="14849" width="18.33203125" bestFit="1" customWidth="1"/>
    <col min="14850" max="14850" width="10.5546875" bestFit="1" customWidth="1"/>
    <col min="15105" max="15105" width="18.33203125" bestFit="1" customWidth="1"/>
    <col min="15106" max="15106" width="10.5546875" bestFit="1" customWidth="1"/>
    <col min="15361" max="15361" width="18.33203125" bestFit="1" customWidth="1"/>
    <col min="15362" max="15362" width="10.5546875" bestFit="1" customWidth="1"/>
    <col min="15617" max="15617" width="18.33203125" bestFit="1" customWidth="1"/>
    <col min="15618" max="15618" width="10.5546875" bestFit="1" customWidth="1"/>
    <col min="15873" max="15873" width="18.33203125" bestFit="1" customWidth="1"/>
    <col min="15874" max="15874" width="10.5546875" bestFit="1" customWidth="1"/>
    <col min="16129" max="16129" width="18.33203125" bestFit="1" customWidth="1"/>
    <col min="16130" max="16130" width="10.5546875" bestFit="1" customWidth="1"/>
  </cols>
  <sheetData>
    <row r="1" spans="1:4" x14ac:dyDescent="0.3">
      <c r="A1" s="1" t="s">
        <v>177</v>
      </c>
      <c r="B1" s="9">
        <v>73800</v>
      </c>
    </row>
    <row r="2" spans="1:4" x14ac:dyDescent="0.3">
      <c r="A2" s="1" t="s">
        <v>178</v>
      </c>
      <c r="B2" s="29">
        <v>0</v>
      </c>
      <c r="D2" t="s">
        <v>179</v>
      </c>
    </row>
    <row r="3" spans="1:4" x14ac:dyDescent="0.3">
      <c r="A3" s="1" t="s">
        <v>180</v>
      </c>
      <c r="B3" s="1">
        <v>6.2E-2</v>
      </c>
    </row>
    <row r="4" spans="1:4" x14ac:dyDescent="0.3">
      <c r="A4" s="1" t="s">
        <v>39</v>
      </c>
      <c r="B4" s="1">
        <v>12</v>
      </c>
    </row>
    <row r="5" spans="1:4" x14ac:dyDescent="0.3">
      <c r="A5" s="1" t="s">
        <v>181</v>
      </c>
      <c r="B5" s="1">
        <v>60</v>
      </c>
    </row>
    <row r="6" spans="1:4" x14ac:dyDescent="0.3">
      <c r="A6" s="1" t="s">
        <v>96</v>
      </c>
      <c r="B6" s="2"/>
      <c r="D6" s="1" t="s">
        <v>88</v>
      </c>
    </row>
    <row r="7" spans="1:4" x14ac:dyDescent="0.3">
      <c r="A7" s="1" t="s">
        <v>97</v>
      </c>
      <c r="B7" s="30"/>
      <c r="D7" s="1"/>
    </row>
    <row r="8" spans="1:4" x14ac:dyDescent="0.3">
      <c r="A8" s="1" t="s">
        <v>71</v>
      </c>
      <c r="B8" s="42"/>
      <c r="D8" s="1"/>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8"/>
  <sheetViews>
    <sheetView zoomScale="220" workbookViewId="0">
      <selection activeCell="B15" sqref="B15"/>
    </sheetView>
  </sheetViews>
  <sheetFormatPr defaultRowHeight="14.4" x14ac:dyDescent="0.3"/>
  <cols>
    <col min="1" max="1" width="19.6640625" bestFit="1" customWidth="1"/>
    <col min="2" max="2" width="12.33203125" bestFit="1" customWidth="1"/>
    <col min="257" max="257" width="18.33203125" bestFit="1" customWidth="1"/>
    <col min="258" max="258" width="10.33203125" bestFit="1" customWidth="1"/>
    <col min="513" max="513" width="18.33203125" bestFit="1" customWidth="1"/>
    <col min="514" max="514" width="10.33203125" bestFit="1" customWidth="1"/>
    <col min="769" max="769" width="18.33203125" bestFit="1" customWidth="1"/>
    <col min="770" max="770" width="10.33203125" bestFit="1" customWidth="1"/>
    <col min="1025" max="1025" width="18.33203125" bestFit="1" customWidth="1"/>
    <col min="1026" max="1026" width="10.33203125" bestFit="1" customWidth="1"/>
    <col min="1281" max="1281" width="18.33203125" bestFit="1" customWidth="1"/>
    <col min="1282" max="1282" width="10.33203125" bestFit="1" customWidth="1"/>
    <col min="1537" max="1537" width="18.33203125" bestFit="1" customWidth="1"/>
    <col min="1538" max="1538" width="10.33203125" bestFit="1" customWidth="1"/>
    <col min="1793" max="1793" width="18.33203125" bestFit="1" customWidth="1"/>
    <col min="1794" max="1794" width="10.33203125" bestFit="1" customWidth="1"/>
    <col min="2049" max="2049" width="18.33203125" bestFit="1" customWidth="1"/>
    <col min="2050" max="2050" width="10.33203125" bestFit="1" customWidth="1"/>
    <col min="2305" max="2305" width="18.33203125" bestFit="1" customWidth="1"/>
    <col min="2306" max="2306" width="10.33203125" bestFit="1" customWidth="1"/>
    <col min="2561" max="2561" width="18.33203125" bestFit="1" customWidth="1"/>
    <col min="2562" max="2562" width="10.33203125" bestFit="1" customWidth="1"/>
    <col min="2817" max="2817" width="18.33203125" bestFit="1" customWidth="1"/>
    <col min="2818" max="2818" width="10.33203125" bestFit="1" customWidth="1"/>
    <col min="3073" max="3073" width="18.33203125" bestFit="1" customWidth="1"/>
    <col min="3074" max="3074" width="10.33203125" bestFit="1" customWidth="1"/>
    <col min="3329" max="3329" width="18.33203125" bestFit="1" customWidth="1"/>
    <col min="3330" max="3330" width="10.33203125" bestFit="1" customWidth="1"/>
    <col min="3585" max="3585" width="18.33203125" bestFit="1" customWidth="1"/>
    <col min="3586" max="3586" width="10.33203125" bestFit="1" customWidth="1"/>
    <col min="3841" max="3841" width="18.33203125" bestFit="1" customWidth="1"/>
    <col min="3842" max="3842" width="10.33203125" bestFit="1" customWidth="1"/>
    <col min="4097" max="4097" width="18.33203125" bestFit="1" customWidth="1"/>
    <col min="4098" max="4098" width="10.33203125" bestFit="1" customWidth="1"/>
    <col min="4353" max="4353" width="18.33203125" bestFit="1" customWidth="1"/>
    <col min="4354" max="4354" width="10.33203125" bestFit="1" customWidth="1"/>
    <col min="4609" max="4609" width="18.33203125" bestFit="1" customWidth="1"/>
    <col min="4610" max="4610" width="10.33203125" bestFit="1" customWidth="1"/>
    <col min="4865" max="4865" width="18.33203125" bestFit="1" customWidth="1"/>
    <col min="4866" max="4866" width="10.33203125" bestFit="1" customWidth="1"/>
    <col min="5121" max="5121" width="18.33203125" bestFit="1" customWidth="1"/>
    <col min="5122" max="5122" width="10.33203125" bestFit="1" customWidth="1"/>
    <col min="5377" max="5377" width="18.33203125" bestFit="1" customWidth="1"/>
    <col min="5378" max="5378" width="10.33203125" bestFit="1" customWidth="1"/>
    <col min="5633" max="5633" width="18.33203125" bestFit="1" customWidth="1"/>
    <col min="5634" max="5634" width="10.33203125" bestFit="1" customWidth="1"/>
    <col min="5889" max="5889" width="18.33203125" bestFit="1" customWidth="1"/>
    <col min="5890" max="5890" width="10.33203125" bestFit="1" customWidth="1"/>
    <col min="6145" max="6145" width="18.33203125" bestFit="1" customWidth="1"/>
    <col min="6146" max="6146" width="10.33203125" bestFit="1" customWidth="1"/>
    <col min="6401" max="6401" width="18.33203125" bestFit="1" customWidth="1"/>
    <col min="6402" max="6402" width="10.33203125" bestFit="1" customWidth="1"/>
    <col min="6657" max="6657" width="18.33203125" bestFit="1" customWidth="1"/>
    <col min="6658" max="6658" width="10.33203125" bestFit="1" customWidth="1"/>
    <col min="6913" max="6913" width="18.33203125" bestFit="1" customWidth="1"/>
    <col min="6914" max="6914" width="10.33203125" bestFit="1" customWidth="1"/>
    <col min="7169" max="7169" width="18.33203125" bestFit="1" customWidth="1"/>
    <col min="7170" max="7170" width="10.33203125" bestFit="1" customWidth="1"/>
    <col min="7425" max="7425" width="18.33203125" bestFit="1" customWidth="1"/>
    <col min="7426" max="7426" width="10.33203125" bestFit="1" customWidth="1"/>
    <col min="7681" max="7681" width="18.33203125" bestFit="1" customWidth="1"/>
    <col min="7682" max="7682" width="10.33203125" bestFit="1" customWidth="1"/>
    <col min="7937" max="7937" width="18.33203125" bestFit="1" customWidth="1"/>
    <col min="7938" max="7938" width="10.33203125" bestFit="1" customWidth="1"/>
    <col min="8193" max="8193" width="18.33203125" bestFit="1" customWidth="1"/>
    <col min="8194" max="8194" width="10.33203125" bestFit="1" customWidth="1"/>
    <col min="8449" max="8449" width="18.33203125" bestFit="1" customWidth="1"/>
    <col min="8450" max="8450" width="10.33203125" bestFit="1" customWidth="1"/>
    <col min="8705" max="8705" width="18.33203125" bestFit="1" customWidth="1"/>
    <col min="8706" max="8706" width="10.33203125" bestFit="1" customWidth="1"/>
    <col min="8961" max="8961" width="18.33203125" bestFit="1" customWidth="1"/>
    <col min="8962" max="8962" width="10.33203125" bestFit="1" customWidth="1"/>
    <col min="9217" max="9217" width="18.33203125" bestFit="1" customWidth="1"/>
    <col min="9218" max="9218" width="10.33203125" bestFit="1" customWidth="1"/>
    <col min="9473" max="9473" width="18.33203125" bestFit="1" customWidth="1"/>
    <col min="9474" max="9474" width="10.33203125" bestFit="1" customWidth="1"/>
    <col min="9729" max="9729" width="18.33203125" bestFit="1" customWidth="1"/>
    <col min="9730" max="9730" width="10.33203125" bestFit="1" customWidth="1"/>
    <col min="9985" max="9985" width="18.33203125" bestFit="1" customWidth="1"/>
    <col min="9986" max="9986" width="10.33203125" bestFit="1" customWidth="1"/>
    <col min="10241" max="10241" width="18.33203125" bestFit="1" customWidth="1"/>
    <col min="10242" max="10242" width="10.33203125" bestFit="1" customWidth="1"/>
    <col min="10497" max="10497" width="18.33203125" bestFit="1" customWidth="1"/>
    <col min="10498" max="10498" width="10.33203125" bestFit="1" customWidth="1"/>
    <col min="10753" max="10753" width="18.33203125" bestFit="1" customWidth="1"/>
    <col min="10754" max="10754" width="10.33203125" bestFit="1" customWidth="1"/>
    <col min="11009" max="11009" width="18.33203125" bestFit="1" customWidth="1"/>
    <col min="11010" max="11010" width="10.33203125" bestFit="1" customWidth="1"/>
    <col min="11265" max="11265" width="18.33203125" bestFit="1" customWidth="1"/>
    <col min="11266" max="11266" width="10.33203125" bestFit="1" customWidth="1"/>
    <col min="11521" max="11521" width="18.33203125" bestFit="1" customWidth="1"/>
    <col min="11522" max="11522" width="10.33203125" bestFit="1" customWidth="1"/>
    <col min="11777" max="11777" width="18.33203125" bestFit="1" customWidth="1"/>
    <col min="11778" max="11778" width="10.33203125" bestFit="1" customWidth="1"/>
    <col min="12033" max="12033" width="18.33203125" bestFit="1" customWidth="1"/>
    <col min="12034" max="12034" width="10.33203125" bestFit="1" customWidth="1"/>
    <col min="12289" max="12289" width="18.33203125" bestFit="1" customWidth="1"/>
    <col min="12290" max="12290" width="10.33203125" bestFit="1" customWidth="1"/>
    <col min="12545" max="12545" width="18.33203125" bestFit="1" customWidth="1"/>
    <col min="12546" max="12546" width="10.33203125" bestFit="1" customWidth="1"/>
    <col min="12801" max="12801" width="18.33203125" bestFit="1" customWidth="1"/>
    <col min="12802" max="12802" width="10.33203125" bestFit="1" customWidth="1"/>
    <col min="13057" max="13057" width="18.33203125" bestFit="1" customWidth="1"/>
    <col min="13058" max="13058" width="10.33203125" bestFit="1" customWidth="1"/>
    <col min="13313" max="13313" width="18.33203125" bestFit="1" customWidth="1"/>
    <col min="13314" max="13314" width="10.33203125" bestFit="1" customWidth="1"/>
    <col min="13569" max="13569" width="18.33203125" bestFit="1" customWidth="1"/>
    <col min="13570" max="13570" width="10.33203125" bestFit="1" customWidth="1"/>
    <col min="13825" max="13825" width="18.33203125" bestFit="1" customWidth="1"/>
    <col min="13826" max="13826" width="10.33203125" bestFit="1" customWidth="1"/>
    <col min="14081" max="14081" width="18.33203125" bestFit="1" customWidth="1"/>
    <col min="14082" max="14082" width="10.33203125" bestFit="1" customWidth="1"/>
    <col min="14337" max="14337" width="18.33203125" bestFit="1" customWidth="1"/>
    <col min="14338" max="14338" width="10.33203125" bestFit="1" customWidth="1"/>
    <col min="14593" max="14593" width="18.33203125" bestFit="1" customWidth="1"/>
    <col min="14594" max="14594" width="10.33203125" bestFit="1" customWidth="1"/>
    <col min="14849" max="14849" width="18.33203125" bestFit="1" customWidth="1"/>
    <col min="14850" max="14850" width="10.33203125" bestFit="1" customWidth="1"/>
    <col min="15105" max="15105" width="18.33203125" bestFit="1" customWidth="1"/>
    <col min="15106" max="15106" width="10.33203125" bestFit="1" customWidth="1"/>
    <col min="15361" max="15361" width="18.33203125" bestFit="1" customWidth="1"/>
    <col min="15362" max="15362" width="10.33203125" bestFit="1" customWidth="1"/>
    <col min="15617" max="15617" width="18.33203125" bestFit="1" customWidth="1"/>
    <col min="15618" max="15618" width="10.33203125" bestFit="1" customWidth="1"/>
    <col min="15873" max="15873" width="18.33203125" bestFit="1" customWidth="1"/>
    <col min="15874" max="15874" width="10.33203125" bestFit="1" customWidth="1"/>
    <col min="16129" max="16129" width="18.33203125" bestFit="1" customWidth="1"/>
    <col min="16130" max="16130" width="10.33203125" bestFit="1" customWidth="1"/>
  </cols>
  <sheetData>
    <row r="1" spans="1:4" x14ac:dyDescent="0.3">
      <c r="A1" s="1" t="s">
        <v>177</v>
      </c>
      <c r="B1" s="9">
        <v>73800</v>
      </c>
    </row>
    <row r="2" spans="1:4" x14ac:dyDescent="0.3">
      <c r="A2" s="1" t="s">
        <v>247</v>
      </c>
      <c r="B2" s="29"/>
    </row>
    <row r="3" spans="1:4" x14ac:dyDescent="0.3">
      <c r="A3" s="1" t="s">
        <v>180</v>
      </c>
      <c r="B3" s="1">
        <v>6.2E-2</v>
      </c>
    </row>
    <row r="4" spans="1:4" x14ac:dyDescent="0.3">
      <c r="A4" s="1" t="s">
        <v>39</v>
      </c>
      <c r="B4" s="1">
        <v>12</v>
      </c>
    </row>
    <row r="5" spans="1:4" x14ac:dyDescent="0.3">
      <c r="A5" s="1" t="s">
        <v>181</v>
      </c>
      <c r="B5" s="1">
        <v>60</v>
      </c>
    </row>
    <row r="6" spans="1:4" x14ac:dyDescent="0.3">
      <c r="A6" s="1" t="s">
        <v>96</v>
      </c>
      <c r="B6" s="2">
        <f>B3/B4</f>
        <v>5.1666666666666666E-3</v>
      </c>
      <c r="D6" s="1" t="s">
        <v>88</v>
      </c>
    </row>
    <row r="7" spans="1:4" x14ac:dyDescent="0.3">
      <c r="A7" s="1" t="s">
        <v>97</v>
      </c>
      <c r="B7" s="30">
        <f>PMT(B6,B5,B1)</f>
        <v>-1433.6340419683281</v>
      </c>
      <c r="D7" s="1">
        <f>B1/((1-(1+B6)^-B5)/B6)</f>
        <v>1433.6340419683027</v>
      </c>
    </row>
    <row r="8" spans="1:4" x14ac:dyDescent="0.3">
      <c r="A8" s="1" t="s">
        <v>71</v>
      </c>
      <c r="B8" s="42">
        <f>EFFECT(B3,B4)</f>
        <v>6.3792531685821885E-2</v>
      </c>
      <c r="D8" s="1">
        <f>(1+B6)^B4-1</f>
        <v>6.3792531685821885E-2</v>
      </c>
    </row>
  </sheetData>
  <pageMargins left="0.7" right="0.7" top="0.75" bottom="0.75" header="0.3" footer="0.3"/>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E13"/>
  <sheetViews>
    <sheetView zoomScale="130" workbookViewId="0">
      <selection activeCell="B15" sqref="B15"/>
    </sheetView>
  </sheetViews>
  <sheetFormatPr defaultRowHeight="14.4" x14ac:dyDescent="0.3"/>
  <cols>
    <col min="1" max="1" width="27" bestFit="1" customWidth="1"/>
    <col min="2" max="2" width="11.33203125" bestFit="1" customWidth="1"/>
    <col min="4" max="4" width="2" customWidth="1"/>
    <col min="257" max="257" width="27" bestFit="1" customWidth="1"/>
    <col min="258" max="258" width="11.33203125" bestFit="1" customWidth="1"/>
    <col min="260" max="260" width="2" customWidth="1"/>
    <col min="513" max="513" width="27" bestFit="1" customWidth="1"/>
    <col min="514" max="514" width="11.33203125" bestFit="1" customWidth="1"/>
    <col min="516" max="516" width="2" customWidth="1"/>
    <col min="769" max="769" width="27" bestFit="1" customWidth="1"/>
    <col min="770" max="770" width="11.33203125" bestFit="1" customWidth="1"/>
    <col min="772" max="772" width="2" customWidth="1"/>
    <col min="1025" max="1025" width="27" bestFit="1" customWidth="1"/>
    <col min="1026" max="1026" width="11.33203125" bestFit="1" customWidth="1"/>
    <col min="1028" max="1028" width="2" customWidth="1"/>
    <col min="1281" max="1281" width="27" bestFit="1" customWidth="1"/>
    <col min="1282" max="1282" width="11.33203125" bestFit="1" customWidth="1"/>
    <col min="1284" max="1284" width="2" customWidth="1"/>
    <col min="1537" max="1537" width="27" bestFit="1" customWidth="1"/>
    <col min="1538" max="1538" width="11.33203125" bestFit="1" customWidth="1"/>
    <col min="1540" max="1540" width="2" customWidth="1"/>
    <col min="1793" max="1793" width="27" bestFit="1" customWidth="1"/>
    <col min="1794" max="1794" width="11.33203125" bestFit="1" customWidth="1"/>
    <col min="1796" max="1796" width="2" customWidth="1"/>
    <col min="2049" max="2049" width="27" bestFit="1" customWidth="1"/>
    <col min="2050" max="2050" width="11.33203125" bestFit="1" customWidth="1"/>
    <col min="2052" max="2052" width="2" customWidth="1"/>
    <col min="2305" max="2305" width="27" bestFit="1" customWidth="1"/>
    <col min="2306" max="2306" width="11.33203125" bestFit="1" customWidth="1"/>
    <col min="2308" max="2308" width="2" customWidth="1"/>
    <col min="2561" max="2561" width="27" bestFit="1" customWidth="1"/>
    <col min="2562" max="2562" width="11.33203125" bestFit="1" customWidth="1"/>
    <col min="2564" max="2564" width="2" customWidth="1"/>
    <col min="2817" max="2817" width="27" bestFit="1" customWidth="1"/>
    <col min="2818" max="2818" width="11.33203125" bestFit="1" customWidth="1"/>
    <col min="2820" max="2820" width="2" customWidth="1"/>
    <col min="3073" max="3073" width="27" bestFit="1" customWidth="1"/>
    <col min="3074" max="3074" width="11.33203125" bestFit="1" customWidth="1"/>
    <col min="3076" max="3076" width="2" customWidth="1"/>
    <col min="3329" max="3329" width="27" bestFit="1" customWidth="1"/>
    <col min="3330" max="3330" width="11.33203125" bestFit="1" customWidth="1"/>
    <col min="3332" max="3332" width="2" customWidth="1"/>
    <col min="3585" max="3585" width="27" bestFit="1" customWidth="1"/>
    <col min="3586" max="3586" width="11.33203125" bestFit="1" customWidth="1"/>
    <col min="3588" max="3588" width="2" customWidth="1"/>
    <col min="3841" max="3841" width="27" bestFit="1" customWidth="1"/>
    <col min="3842" max="3842" width="11.33203125" bestFit="1" customWidth="1"/>
    <col min="3844" max="3844" width="2" customWidth="1"/>
    <col min="4097" max="4097" width="27" bestFit="1" customWidth="1"/>
    <col min="4098" max="4098" width="11.33203125" bestFit="1" customWidth="1"/>
    <col min="4100" max="4100" width="2" customWidth="1"/>
    <col min="4353" max="4353" width="27" bestFit="1" customWidth="1"/>
    <col min="4354" max="4354" width="11.33203125" bestFit="1" customWidth="1"/>
    <col min="4356" max="4356" width="2" customWidth="1"/>
    <col min="4609" max="4609" width="27" bestFit="1" customWidth="1"/>
    <col min="4610" max="4610" width="11.33203125" bestFit="1" customWidth="1"/>
    <col min="4612" max="4612" width="2" customWidth="1"/>
    <col min="4865" max="4865" width="27" bestFit="1" customWidth="1"/>
    <col min="4866" max="4866" width="11.33203125" bestFit="1" customWidth="1"/>
    <col min="4868" max="4868" width="2" customWidth="1"/>
    <col min="5121" max="5121" width="27" bestFit="1" customWidth="1"/>
    <col min="5122" max="5122" width="11.33203125" bestFit="1" customWidth="1"/>
    <col min="5124" max="5124" width="2" customWidth="1"/>
    <col min="5377" max="5377" width="27" bestFit="1" customWidth="1"/>
    <col min="5378" max="5378" width="11.33203125" bestFit="1" customWidth="1"/>
    <col min="5380" max="5380" width="2" customWidth="1"/>
    <col min="5633" max="5633" width="27" bestFit="1" customWidth="1"/>
    <col min="5634" max="5634" width="11.33203125" bestFit="1" customWidth="1"/>
    <col min="5636" max="5636" width="2" customWidth="1"/>
    <col min="5889" max="5889" width="27" bestFit="1" customWidth="1"/>
    <col min="5890" max="5890" width="11.33203125" bestFit="1" customWidth="1"/>
    <col min="5892" max="5892" width="2" customWidth="1"/>
    <col min="6145" max="6145" width="27" bestFit="1" customWidth="1"/>
    <col min="6146" max="6146" width="11.33203125" bestFit="1" customWidth="1"/>
    <col min="6148" max="6148" width="2" customWidth="1"/>
    <col min="6401" max="6401" width="27" bestFit="1" customWidth="1"/>
    <col min="6402" max="6402" width="11.33203125" bestFit="1" customWidth="1"/>
    <col min="6404" max="6404" width="2" customWidth="1"/>
    <col min="6657" max="6657" width="27" bestFit="1" customWidth="1"/>
    <col min="6658" max="6658" width="11.33203125" bestFit="1" customWidth="1"/>
    <col min="6660" max="6660" width="2" customWidth="1"/>
    <col min="6913" max="6913" width="27" bestFit="1" customWidth="1"/>
    <col min="6914" max="6914" width="11.33203125" bestFit="1" customWidth="1"/>
    <col min="6916" max="6916" width="2" customWidth="1"/>
    <col min="7169" max="7169" width="27" bestFit="1" customWidth="1"/>
    <col min="7170" max="7170" width="11.33203125" bestFit="1" customWidth="1"/>
    <col min="7172" max="7172" width="2" customWidth="1"/>
    <col min="7425" max="7425" width="27" bestFit="1" customWidth="1"/>
    <col min="7426" max="7426" width="11.33203125" bestFit="1" customWidth="1"/>
    <col min="7428" max="7428" width="2" customWidth="1"/>
    <col min="7681" max="7681" width="27" bestFit="1" customWidth="1"/>
    <col min="7682" max="7682" width="11.33203125" bestFit="1" customWidth="1"/>
    <col min="7684" max="7684" width="2" customWidth="1"/>
    <col min="7937" max="7937" width="27" bestFit="1" customWidth="1"/>
    <col min="7938" max="7938" width="11.33203125" bestFit="1" customWidth="1"/>
    <col min="7940" max="7940" width="2" customWidth="1"/>
    <col min="8193" max="8193" width="27" bestFit="1" customWidth="1"/>
    <col min="8194" max="8194" width="11.33203125" bestFit="1" customWidth="1"/>
    <col min="8196" max="8196" width="2" customWidth="1"/>
    <col min="8449" max="8449" width="27" bestFit="1" customWidth="1"/>
    <col min="8450" max="8450" width="11.33203125" bestFit="1" customWidth="1"/>
    <col min="8452" max="8452" width="2" customWidth="1"/>
    <col min="8705" max="8705" width="27" bestFit="1" customWidth="1"/>
    <col min="8706" max="8706" width="11.33203125" bestFit="1" customWidth="1"/>
    <col min="8708" max="8708" width="2" customWidth="1"/>
    <col min="8961" max="8961" width="27" bestFit="1" customWidth="1"/>
    <col min="8962" max="8962" width="11.33203125" bestFit="1" customWidth="1"/>
    <col min="8964" max="8964" width="2" customWidth="1"/>
    <col min="9217" max="9217" width="27" bestFit="1" customWidth="1"/>
    <col min="9218" max="9218" width="11.33203125" bestFit="1" customWidth="1"/>
    <col min="9220" max="9220" width="2" customWidth="1"/>
    <col min="9473" max="9473" width="27" bestFit="1" customWidth="1"/>
    <col min="9474" max="9474" width="11.33203125" bestFit="1" customWidth="1"/>
    <col min="9476" max="9476" width="2" customWidth="1"/>
    <col min="9729" max="9729" width="27" bestFit="1" customWidth="1"/>
    <col min="9730" max="9730" width="11.33203125" bestFit="1" customWidth="1"/>
    <col min="9732" max="9732" width="2" customWidth="1"/>
    <col min="9985" max="9985" width="27" bestFit="1" customWidth="1"/>
    <col min="9986" max="9986" width="11.33203125" bestFit="1" customWidth="1"/>
    <col min="9988" max="9988" width="2" customWidth="1"/>
    <col min="10241" max="10241" width="27" bestFit="1" customWidth="1"/>
    <col min="10242" max="10242" width="11.33203125" bestFit="1" customWidth="1"/>
    <col min="10244" max="10244" width="2" customWidth="1"/>
    <col min="10497" max="10497" width="27" bestFit="1" customWidth="1"/>
    <col min="10498" max="10498" width="11.33203125" bestFit="1" customWidth="1"/>
    <col min="10500" max="10500" width="2" customWidth="1"/>
    <col min="10753" max="10753" width="27" bestFit="1" customWidth="1"/>
    <col min="10754" max="10754" width="11.33203125" bestFit="1" customWidth="1"/>
    <col min="10756" max="10756" width="2" customWidth="1"/>
    <col min="11009" max="11009" width="27" bestFit="1" customWidth="1"/>
    <col min="11010" max="11010" width="11.33203125" bestFit="1" customWidth="1"/>
    <col min="11012" max="11012" width="2" customWidth="1"/>
    <col min="11265" max="11265" width="27" bestFit="1" customWidth="1"/>
    <col min="11266" max="11266" width="11.33203125" bestFit="1" customWidth="1"/>
    <col min="11268" max="11268" width="2" customWidth="1"/>
    <col min="11521" max="11521" width="27" bestFit="1" customWidth="1"/>
    <col min="11522" max="11522" width="11.33203125" bestFit="1" customWidth="1"/>
    <col min="11524" max="11524" width="2" customWidth="1"/>
    <col min="11777" max="11777" width="27" bestFit="1" customWidth="1"/>
    <col min="11778" max="11778" width="11.33203125" bestFit="1" customWidth="1"/>
    <col min="11780" max="11780" width="2" customWidth="1"/>
    <col min="12033" max="12033" width="27" bestFit="1" customWidth="1"/>
    <col min="12034" max="12034" width="11.33203125" bestFit="1" customWidth="1"/>
    <col min="12036" max="12036" width="2" customWidth="1"/>
    <col min="12289" max="12289" width="27" bestFit="1" customWidth="1"/>
    <col min="12290" max="12290" width="11.33203125" bestFit="1" customWidth="1"/>
    <col min="12292" max="12292" width="2" customWidth="1"/>
    <col min="12545" max="12545" width="27" bestFit="1" customWidth="1"/>
    <col min="12546" max="12546" width="11.33203125" bestFit="1" customWidth="1"/>
    <col min="12548" max="12548" width="2" customWidth="1"/>
    <col min="12801" max="12801" width="27" bestFit="1" customWidth="1"/>
    <col min="12802" max="12802" width="11.33203125" bestFit="1" customWidth="1"/>
    <col min="12804" max="12804" width="2" customWidth="1"/>
    <col min="13057" max="13057" width="27" bestFit="1" customWidth="1"/>
    <col min="13058" max="13058" width="11.33203125" bestFit="1" customWidth="1"/>
    <col min="13060" max="13060" width="2" customWidth="1"/>
    <col min="13313" max="13313" width="27" bestFit="1" customWidth="1"/>
    <col min="13314" max="13314" width="11.33203125" bestFit="1" customWidth="1"/>
    <col min="13316" max="13316" width="2" customWidth="1"/>
    <col min="13569" max="13569" width="27" bestFit="1" customWidth="1"/>
    <col min="13570" max="13570" width="11.33203125" bestFit="1" customWidth="1"/>
    <col min="13572" max="13572" width="2" customWidth="1"/>
    <col min="13825" max="13825" width="27" bestFit="1" customWidth="1"/>
    <col min="13826" max="13826" width="11.33203125" bestFit="1" customWidth="1"/>
    <col min="13828" max="13828" width="2" customWidth="1"/>
    <col min="14081" max="14081" width="27" bestFit="1" customWidth="1"/>
    <col min="14082" max="14082" width="11.33203125" bestFit="1" customWidth="1"/>
    <col min="14084" max="14084" width="2" customWidth="1"/>
    <col min="14337" max="14337" width="27" bestFit="1" customWidth="1"/>
    <col min="14338" max="14338" width="11.33203125" bestFit="1" customWidth="1"/>
    <col min="14340" max="14340" width="2" customWidth="1"/>
    <col min="14593" max="14593" width="27" bestFit="1" customWidth="1"/>
    <col min="14594" max="14594" width="11.33203125" bestFit="1" customWidth="1"/>
    <col min="14596" max="14596" width="2" customWidth="1"/>
    <col min="14849" max="14849" width="27" bestFit="1" customWidth="1"/>
    <col min="14850" max="14850" width="11.33203125" bestFit="1" customWidth="1"/>
    <col min="14852" max="14852" width="2" customWidth="1"/>
    <col min="15105" max="15105" width="27" bestFit="1" customWidth="1"/>
    <col min="15106" max="15106" width="11.33203125" bestFit="1" customWidth="1"/>
    <col min="15108" max="15108" width="2" customWidth="1"/>
    <col min="15361" max="15361" width="27" bestFit="1" customWidth="1"/>
    <col min="15362" max="15362" width="11.33203125" bestFit="1" customWidth="1"/>
    <col min="15364" max="15364" width="2" customWidth="1"/>
    <col min="15617" max="15617" width="27" bestFit="1" customWidth="1"/>
    <col min="15618" max="15618" width="11.33203125" bestFit="1" customWidth="1"/>
    <col min="15620" max="15620" width="2" customWidth="1"/>
    <col min="15873" max="15873" width="27" bestFit="1" customWidth="1"/>
    <col min="15874" max="15874" width="11.33203125" bestFit="1" customWidth="1"/>
    <col min="15876" max="15876" width="2" customWidth="1"/>
    <col min="16129" max="16129" width="27" bestFit="1" customWidth="1"/>
    <col min="16130" max="16130" width="11.33203125" bestFit="1" customWidth="1"/>
    <col min="16132" max="16132" width="2" customWidth="1"/>
  </cols>
  <sheetData>
    <row r="1" spans="1:5" x14ac:dyDescent="0.3">
      <c r="A1" s="1" t="s">
        <v>182</v>
      </c>
      <c r="B1" s="1">
        <v>10000</v>
      </c>
    </row>
    <row r="2" spans="1:5" x14ac:dyDescent="0.3">
      <c r="A2" s="1" t="s">
        <v>183</v>
      </c>
      <c r="B2" s="1">
        <v>2.1000000000000001E-2</v>
      </c>
    </row>
    <row r="3" spans="1:5" x14ac:dyDescent="0.3">
      <c r="A3" s="1" t="s">
        <v>184</v>
      </c>
      <c r="B3" s="116">
        <v>6</v>
      </c>
      <c r="C3" s="1" t="s">
        <v>185</v>
      </c>
    </row>
    <row r="4" spans="1:5" x14ac:dyDescent="0.3">
      <c r="A4" s="1" t="s">
        <v>186</v>
      </c>
      <c r="B4" s="2"/>
      <c r="E4" s="1" t="s">
        <v>88</v>
      </c>
    </row>
    <row r="5" spans="1:5" x14ac:dyDescent="0.3">
      <c r="A5" s="1" t="s">
        <v>187</v>
      </c>
      <c r="B5" s="30"/>
      <c r="E5" s="1"/>
    </row>
    <row r="7" spans="1:5" x14ac:dyDescent="0.3">
      <c r="A7" s="1" t="s">
        <v>188</v>
      </c>
      <c r="B7" s="1">
        <v>0.17</v>
      </c>
    </row>
    <row r="8" spans="1:5" x14ac:dyDescent="0.3">
      <c r="A8" s="1" t="s">
        <v>189</v>
      </c>
      <c r="B8" s="1">
        <v>6</v>
      </c>
      <c r="C8" s="1" t="s">
        <v>185</v>
      </c>
    </row>
    <row r="9" spans="1:5" x14ac:dyDescent="0.3">
      <c r="A9" s="1" t="s">
        <v>190</v>
      </c>
      <c r="B9" s="1">
        <f>B7/12</f>
        <v>1.4166666666666668E-2</v>
      </c>
    </row>
    <row r="10" spans="1:5" x14ac:dyDescent="0.3">
      <c r="A10" s="1" t="s">
        <v>191</v>
      </c>
      <c r="B10" s="30"/>
      <c r="E10" s="1" t="s">
        <v>88</v>
      </c>
    </row>
    <row r="11" spans="1:5" x14ac:dyDescent="0.3">
      <c r="A11" s="1" t="s">
        <v>192</v>
      </c>
      <c r="B11" s="30"/>
      <c r="E11" s="1"/>
    </row>
    <row r="13" spans="1:5" x14ac:dyDescent="0.3">
      <c r="B13" s="117"/>
    </row>
  </sheetData>
  <pageMargins left="0.75" right="0.75" top="1" bottom="1" header="0.5" footer="0.5"/>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13"/>
  <sheetViews>
    <sheetView zoomScale="130" workbookViewId="0">
      <selection activeCell="B15" sqref="B15"/>
    </sheetView>
  </sheetViews>
  <sheetFormatPr defaultRowHeight="14.4" x14ac:dyDescent="0.3"/>
  <cols>
    <col min="1" max="1" width="27" bestFit="1" customWidth="1"/>
    <col min="2" max="2" width="13.109375" bestFit="1" customWidth="1"/>
    <col min="257" max="257" width="27" bestFit="1" customWidth="1"/>
    <col min="258" max="258" width="11.33203125" bestFit="1" customWidth="1"/>
    <col min="513" max="513" width="27" bestFit="1" customWidth="1"/>
    <col min="514" max="514" width="11.33203125" bestFit="1" customWidth="1"/>
    <col min="769" max="769" width="27" bestFit="1" customWidth="1"/>
    <col min="770" max="770" width="11.33203125" bestFit="1" customWidth="1"/>
    <col min="1025" max="1025" width="27" bestFit="1" customWidth="1"/>
    <col min="1026" max="1026" width="11.33203125" bestFit="1" customWidth="1"/>
    <col min="1281" max="1281" width="27" bestFit="1" customWidth="1"/>
    <col min="1282" max="1282" width="11.33203125" bestFit="1" customWidth="1"/>
    <col min="1537" max="1537" width="27" bestFit="1" customWidth="1"/>
    <col min="1538" max="1538" width="11.33203125" bestFit="1" customWidth="1"/>
    <col min="1793" max="1793" width="27" bestFit="1" customWidth="1"/>
    <col min="1794" max="1794" width="11.33203125" bestFit="1" customWidth="1"/>
    <col min="2049" max="2049" width="27" bestFit="1" customWidth="1"/>
    <col min="2050" max="2050" width="11.33203125" bestFit="1" customWidth="1"/>
    <col min="2305" max="2305" width="27" bestFit="1" customWidth="1"/>
    <col min="2306" max="2306" width="11.33203125" bestFit="1" customWidth="1"/>
    <col min="2561" max="2561" width="27" bestFit="1" customWidth="1"/>
    <col min="2562" max="2562" width="11.33203125" bestFit="1" customWidth="1"/>
    <col min="2817" max="2817" width="27" bestFit="1" customWidth="1"/>
    <col min="2818" max="2818" width="11.33203125" bestFit="1" customWidth="1"/>
    <col min="3073" max="3073" width="27" bestFit="1" customWidth="1"/>
    <col min="3074" max="3074" width="11.33203125" bestFit="1" customWidth="1"/>
    <col min="3329" max="3329" width="27" bestFit="1" customWidth="1"/>
    <col min="3330" max="3330" width="11.33203125" bestFit="1" customWidth="1"/>
    <col min="3585" max="3585" width="27" bestFit="1" customWidth="1"/>
    <col min="3586" max="3586" width="11.33203125" bestFit="1" customWidth="1"/>
    <col min="3841" max="3841" width="27" bestFit="1" customWidth="1"/>
    <col min="3842" max="3842" width="11.33203125" bestFit="1" customWidth="1"/>
    <col min="4097" max="4097" width="27" bestFit="1" customWidth="1"/>
    <col min="4098" max="4098" width="11.33203125" bestFit="1" customWidth="1"/>
    <col min="4353" max="4353" width="27" bestFit="1" customWidth="1"/>
    <col min="4354" max="4354" width="11.33203125" bestFit="1" customWidth="1"/>
    <col min="4609" max="4609" width="27" bestFit="1" customWidth="1"/>
    <col min="4610" max="4610" width="11.33203125" bestFit="1" customWidth="1"/>
    <col min="4865" max="4865" width="27" bestFit="1" customWidth="1"/>
    <col min="4866" max="4866" width="11.33203125" bestFit="1" customWidth="1"/>
    <col min="5121" max="5121" width="27" bestFit="1" customWidth="1"/>
    <col min="5122" max="5122" width="11.33203125" bestFit="1" customWidth="1"/>
    <col min="5377" max="5377" width="27" bestFit="1" customWidth="1"/>
    <col min="5378" max="5378" width="11.33203125" bestFit="1" customWidth="1"/>
    <col min="5633" max="5633" width="27" bestFit="1" customWidth="1"/>
    <col min="5634" max="5634" width="11.33203125" bestFit="1" customWidth="1"/>
    <col min="5889" max="5889" width="27" bestFit="1" customWidth="1"/>
    <col min="5890" max="5890" width="11.33203125" bestFit="1" customWidth="1"/>
    <col min="6145" max="6145" width="27" bestFit="1" customWidth="1"/>
    <col min="6146" max="6146" width="11.33203125" bestFit="1" customWidth="1"/>
    <col min="6401" max="6401" width="27" bestFit="1" customWidth="1"/>
    <col min="6402" max="6402" width="11.33203125" bestFit="1" customWidth="1"/>
    <col min="6657" max="6657" width="27" bestFit="1" customWidth="1"/>
    <col min="6658" max="6658" width="11.33203125" bestFit="1" customWidth="1"/>
    <col min="6913" max="6913" width="27" bestFit="1" customWidth="1"/>
    <col min="6914" max="6914" width="11.33203125" bestFit="1" customWidth="1"/>
    <col min="7169" max="7169" width="27" bestFit="1" customWidth="1"/>
    <col min="7170" max="7170" width="11.33203125" bestFit="1" customWidth="1"/>
    <col min="7425" max="7425" width="27" bestFit="1" customWidth="1"/>
    <col min="7426" max="7426" width="11.33203125" bestFit="1" customWidth="1"/>
    <col min="7681" max="7681" width="27" bestFit="1" customWidth="1"/>
    <col min="7682" max="7682" width="11.33203125" bestFit="1" customWidth="1"/>
    <col min="7937" max="7937" width="27" bestFit="1" customWidth="1"/>
    <col min="7938" max="7938" width="11.33203125" bestFit="1" customWidth="1"/>
    <col min="8193" max="8193" width="27" bestFit="1" customWidth="1"/>
    <col min="8194" max="8194" width="11.33203125" bestFit="1" customWidth="1"/>
    <col min="8449" max="8449" width="27" bestFit="1" customWidth="1"/>
    <col min="8450" max="8450" width="11.33203125" bestFit="1" customWidth="1"/>
    <col min="8705" max="8705" width="27" bestFit="1" customWidth="1"/>
    <col min="8706" max="8706" width="11.33203125" bestFit="1" customWidth="1"/>
    <col min="8961" max="8961" width="27" bestFit="1" customWidth="1"/>
    <col min="8962" max="8962" width="11.33203125" bestFit="1" customWidth="1"/>
    <col min="9217" max="9217" width="27" bestFit="1" customWidth="1"/>
    <col min="9218" max="9218" width="11.33203125" bestFit="1" customWidth="1"/>
    <col min="9473" max="9473" width="27" bestFit="1" customWidth="1"/>
    <col min="9474" max="9474" width="11.33203125" bestFit="1" customWidth="1"/>
    <col min="9729" max="9729" width="27" bestFit="1" customWidth="1"/>
    <col min="9730" max="9730" width="11.33203125" bestFit="1" customWidth="1"/>
    <col min="9985" max="9985" width="27" bestFit="1" customWidth="1"/>
    <col min="9986" max="9986" width="11.33203125" bestFit="1" customWidth="1"/>
    <col min="10241" max="10241" width="27" bestFit="1" customWidth="1"/>
    <col min="10242" max="10242" width="11.33203125" bestFit="1" customWidth="1"/>
    <col min="10497" max="10497" width="27" bestFit="1" customWidth="1"/>
    <col min="10498" max="10498" width="11.33203125" bestFit="1" customWidth="1"/>
    <col min="10753" max="10753" width="27" bestFit="1" customWidth="1"/>
    <col min="10754" max="10754" width="11.33203125" bestFit="1" customWidth="1"/>
    <col min="11009" max="11009" width="27" bestFit="1" customWidth="1"/>
    <col min="11010" max="11010" width="11.33203125" bestFit="1" customWidth="1"/>
    <col min="11265" max="11265" width="27" bestFit="1" customWidth="1"/>
    <col min="11266" max="11266" width="11.33203125" bestFit="1" customWidth="1"/>
    <col min="11521" max="11521" width="27" bestFit="1" customWidth="1"/>
    <col min="11522" max="11522" width="11.33203125" bestFit="1" customWidth="1"/>
    <col min="11777" max="11777" width="27" bestFit="1" customWidth="1"/>
    <col min="11778" max="11778" width="11.33203125" bestFit="1" customWidth="1"/>
    <col min="12033" max="12033" width="27" bestFit="1" customWidth="1"/>
    <col min="12034" max="12034" width="11.33203125" bestFit="1" customWidth="1"/>
    <col min="12289" max="12289" width="27" bestFit="1" customWidth="1"/>
    <col min="12290" max="12290" width="11.33203125" bestFit="1" customWidth="1"/>
    <col min="12545" max="12545" width="27" bestFit="1" customWidth="1"/>
    <col min="12546" max="12546" width="11.33203125" bestFit="1" customWidth="1"/>
    <col min="12801" max="12801" width="27" bestFit="1" customWidth="1"/>
    <col min="12802" max="12802" width="11.33203125" bestFit="1" customWidth="1"/>
    <col min="13057" max="13057" width="27" bestFit="1" customWidth="1"/>
    <col min="13058" max="13058" width="11.33203125" bestFit="1" customWidth="1"/>
    <col min="13313" max="13313" width="27" bestFit="1" customWidth="1"/>
    <col min="13314" max="13314" width="11.33203125" bestFit="1" customWidth="1"/>
    <col min="13569" max="13569" width="27" bestFit="1" customWidth="1"/>
    <col min="13570" max="13570" width="11.33203125" bestFit="1" customWidth="1"/>
    <col min="13825" max="13825" width="27" bestFit="1" customWidth="1"/>
    <col min="13826" max="13826" width="11.33203125" bestFit="1" customWidth="1"/>
    <col min="14081" max="14081" width="27" bestFit="1" customWidth="1"/>
    <col min="14082" max="14082" width="11.33203125" bestFit="1" customWidth="1"/>
    <col min="14337" max="14337" width="27" bestFit="1" customWidth="1"/>
    <col min="14338" max="14338" width="11.33203125" bestFit="1" customWidth="1"/>
    <col min="14593" max="14593" width="27" bestFit="1" customWidth="1"/>
    <col min="14594" max="14594" width="11.33203125" bestFit="1" customWidth="1"/>
    <col min="14849" max="14849" width="27" bestFit="1" customWidth="1"/>
    <col min="14850" max="14850" width="11.33203125" bestFit="1" customWidth="1"/>
    <col min="15105" max="15105" width="27" bestFit="1" customWidth="1"/>
    <col min="15106" max="15106" width="11.33203125" bestFit="1" customWidth="1"/>
    <col min="15361" max="15361" width="27" bestFit="1" customWidth="1"/>
    <col min="15362" max="15362" width="11.33203125" bestFit="1" customWidth="1"/>
    <col min="15617" max="15617" width="27" bestFit="1" customWidth="1"/>
    <col min="15618" max="15618" width="11.33203125" bestFit="1" customWidth="1"/>
    <col min="15873" max="15873" width="27" bestFit="1" customWidth="1"/>
    <col min="15874" max="15874" width="11.33203125" bestFit="1" customWidth="1"/>
    <col min="16129" max="16129" width="27" bestFit="1" customWidth="1"/>
    <col min="16130" max="16130" width="11.33203125" bestFit="1" customWidth="1"/>
  </cols>
  <sheetData>
    <row r="1" spans="1:5" x14ac:dyDescent="0.3">
      <c r="A1" s="1" t="s">
        <v>182</v>
      </c>
      <c r="B1" s="1">
        <v>10000</v>
      </c>
    </row>
    <row r="2" spans="1:5" x14ac:dyDescent="0.3">
      <c r="A2" s="1" t="s">
        <v>183</v>
      </c>
      <c r="B2" s="1">
        <v>2.1000000000000001E-2</v>
      </c>
    </row>
    <row r="3" spans="1:5" x14ac:dyDescent="0.3">
      <c r="A3" s="1" t="s">
        <v>184</v>
      </c>
      <c r="B3" s="116">
        <v>6</v>
      </c>
      <c r="C3" s="1" t="s">
        <v>185</v>
      </c>
    </row>
    <row r="4" spans="1:5" x14ac:dyDescent="0.3">
      <c r="A4" s="1" t="s">
        <v>186</v>
      </c>
      <c r="B4" s="2">
        <f>B2/12</f>
        <v>1.75E-3</v>
      </c>
      <c r="E4" s="1" t="s">
        <v>88</v>
      </c>
    </row>
    <row r="5" spans="1:5" x14ac:dyDescent="0.3">
      <c r="A5" s="1" t="s">
        <v>187</v>
      </c>
      <c r="B5" s="30">
        <f>FV(B4,B3,,B1)</f>
        <v>-10105.460448282816</v>
      </c>
      <c r="E5" s="1">
        <f>B1*(1+B4)^B3</f>
        <v>10105.460448282816</v>
      </c>
    </row>
    <row r="7" spans="1:5" x14ac:dyDescent="0.3">
      <c r="A7" s="1" t="s">
        <v>188</v>
      </c>
      <c r="B7" s="1">
        <v>0.17</v>
      </c>
    </row>
    <row r="8" spans="1:5" x14ac:dyDescent="0.3">
      <c r="A8" s="1" t="s">
        <v>189</v>
      </c>
      <c r="B8" s="1">
        <v>6</v>
      </c>
      <c r="C8" s="1" t="s">
        <v>185</v>
      </c>
    </row>
    <row r="9" spans="1:5" x14ac:dyDescent="0.3">
      <c r="A9" s="1" t="s">
        <v>190</v>
      </c>
      <c r="B9" s="1">
        <f>B7/12</f>
        <v>1.4166666666666668E-2</v>
      </c>
    </row>
    <row r="10" spans="1:5" x14ac:dyDescent="0.3">
      <c r="A10" s="1" t="s">
        <v>191</v>
      </c>
      <c r="B10" s="30">
        <f>FV(B9,B8,,-B5)</f>
        <v>-10995.427004181076</v>
      </c>
      <c r="E10" s="1" t="s">
        <v>88</v>
      </c>
    </row>
    <row r="11" spans="1:5" x14ac:dyDescent="0.3">
      <c r="A11" s="1" t="s">
        <v>192</v>
      </c>
      <c r="B11" s="30">
        <f>-B10-B1</f>
        <v>995.42700418107597</v>
      </c>
      <c r="E11" s="1">
        <f>IF(B5="","",-B5*(1+B9)^(6))</f>
        <v>10995.427004181076</v>
      </c>
    </row>
    <row r="13" spans="1:5" x14ac:dyDescent="0.3">
      <c r="B13" s="117"/>
    </row>
  </sheetData>
  <pageMargins left="0.75" right="0.75" top="1" bottom="1" header="0.5" footer="0.5"/>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G12"/>
  <sheetViews>
    <sheetView workbookViewId="0">
      <selection activeCell="B15" sqref="B15"/>
    </sheetView>
  </sheetViews>
  <sheetFormatPr defaultRowHeight="14.4" x14ac:dyDescent="0.3"/>
  <cols>
    <col min="1" max="1" width="18.6640625" bestFit="1" customWidth="1"/>
    <col min="2" max="2" width="12.109375" bestFit="1" customWidth="1"/>
    <col min="4" max="4" width="18.6640625" bestFit="1" customWidth="1"/>
    <col min="5" max="5" width="13.6640625" bestFit="1" customWidth="1"/>
    <col min="6" max="6" width="1.44140625" customWidth="1"/>
    <col min="7" max="7" width="9.5546875" bestFit="1" customWidth="1"/>
    <col min="8" max="8" width="25.33203125" bestFit="1" customWidth="1"/>
    <col min="257" max="257" width="18.6640625" bestFit="1" customWidth="1"/>
    <col min="258" max="258" width="12.109375" bestFit="1" customWidth="1"/>
    <col min="260" max="260" width="18.6640625" bestFit="1" customWidth="1"/>
    <col min="261" max="261" width="13.6640625" bestFit="1" customWidth="1"/>
    <col min="262" max="262" width="1.44140625" customWidth="1"/>
    <col min="263" max="263" width="9.5546875" bestFit="1" customWidth="1"/>
    <col min="264" max="264" width="25.33203125" bestFit="1" customWidth="1"/>
    <col min="513" max="513" width="18.6640625" bestFit="1" customWidth="1"/>
    <col min="514" max="514" width="12.109375" bestFit="1" customWidth="1"/>
    <col min="516" max="516" width="18.6640625" bestFit="1" customWidth="1"/>
    <col min="517" max="517" width="13.6640625" bestFit="1" customWidth="1"/>
    <col min="518" max="518" width="1.44140625" customWidth="1"/>
    <col min="519" max="519" width="9.5546875" bestFit="1" customWidth="1"/>
    <col min="520" max="520" width="25.33203125" bestFit="1" customWidth="1"/>
    <col min="769" max="769" width="18.6640625" bestFit="1" customWidth="1"/>
    <col min="770" max="770" width="12.109375" bestFit="1" customWidth="1"/>
    <col min="772" max="772" width="18.6640625" bestFit="1" customWidth="1"/>
    <col min="773" max="773" width="13.6640625" bestFit="1" customWidth="1"/>
    <col min="774" max="774" width="1.44140625" customWidth="1"/>
    <col min="775" max="775" width="9.5546875" bestFit="1" customWidth="1"/>
    <col min="776" max="776" width="25.33203125" bestFit="1" customWidth="1"/>
    <col min="1025" max="1025" width="18.6640625" bestFit="1" customWidth="1"/>
    <col min="1026" max="1026" width="12.109375" bestFit="1" customWidth="1"/>
    <col min="1028" max="1028" width="18.6640625" bestFit="1" customWidth="1"/>
    <col min="1029" max="1029" width="13.6640625" bestFit="1" customWidth="1"/>
    <col min="1030" max="1030" width="1.44140625" customWidth="1"/>
    <col min="1031" max="1031" width="9.5546875" bestFit="1" customWidth="1"/>
    <col min="1032" max="1032" width="25.33203125" bestFit="1" customWidth="1"/>
    <col min="1281" max="1281" width="18.6640625" bestFit="1" customWidth="1"/>
    <col min="1282" max="1282" width="12.109375" bestFit="1" customWidth="1"/>
    <col min="1284" max="1284" width="18.6640625" bestFit="1" customWidth="1"/>
    <col min="1285" max="1285" width="13.6640625" bestFit="1" customWidth="1"/>
    <col min="1286" max="1286" width="1.44140625" customWidth="1"/>
    <col min="1287" max="1287" width="9.5546875" bestFit="1" customWidth="1"/>
    <col min="1288" max="1288" width="25.33203125" bestFit="1" customWidth="1"/>
    <col min="1537" max="1537" width="18.6640625" bestFit="1" customWidth="1"/>
    <col min="1538" max="1538" width="12.109375" bestFit="1" customWidth="1"/>
    <col min="1540" max="1540" width="18.6640625" bestFit="1" customWidth="1"/>
    <col min="1541" max="1541" width="13.6640625" bestFit="1" customWidth="1"/>
    <col min="1542" max="1542" width="1.44140625" customWidth="1"/>
    <col min="1543" max="1543" width="9.5546875" bestFit="1" customWidth="1"/>
    <col min="1544" max="1544" width="25.33203125" bestFit="1" customWidth="1"/>
    <col min="1793" max="1793" width="18.6640625" bestFit="1" customWidth="1"/>
    <col min="1794" max="1794" width="12.109375" bestFit="1" customWidth="1"/>
    <col min="1796" max="1796" width="18.6640625" bestFit="1" customWidth="1"/>
    <col min="1797" max="1797" width="13.6640625" bestFit="1" customWidth="1"/>
    <col min="1798" max="1798" width="1.44140625" customWidth="1"/>
    <col min="1799" max="1799" width="9.5546875" bestFit="1" customWidth="1"/>
    <col min="1800" max="1800" width="25.33203125" bestFit="1" customWidth="1"/>
    <col min="2049" max="2049" width="18.6640625" bestFit="1" customWidth="1"/>
    <col min="2050" max="2050" width="12.109375" bestFit="1" customWidth="1"/>
    <col min="2052" max="2052" width="18.6640625" bestFit="1" customWidth="1"/>
    <col min="2053" max="2053" width="13.6640625" bestFit="1" customWidth="1"/>
    <col min="2054" max="2054" width="1.44140625" customWidth="1"/>
    <col min="2055" max="2055" width="9.5546875" bestFit="1" customWidth="1"/>
    <col min="2056" max="2056" width="25.33203125" bestFit="1" customWidth="1"/>
    <col min="2305" max="2305" width="18.6640625" bestFit="1" customWidth="1"/>
    <col min="2306" max="2306" width="12.109375" bestFit="1" customWidth="1"/>
    <col min="2308" max="2308" width="18.6640625" bestFit="1" customWidth="1"/>
    <col min="2309" max="2309" width="13.6640625" bestFit="1" customWidth="1"/>
    <col min="2310" max="2310" width="1.44140625" customWidth="1"/>
    <col min="2311" max="2311" width="9.5546875" bestFit="1" customWidth="1"/>
    <col min="2312" max="2312" width="25.33203125" bestFit="1" customWidth="1"/>
    <col min="2561" max="2561" width="18.6640625" bestFit="1" customWidth="1"/>
    <col min="2562" max="2562" width="12.109375" bestFit="1" customWidth="1"/>
    <col min="2564" max="2564" width="18.6640625" bestFit="1" customWidth="1"/>
    <col min="2565" max="2565" width="13.6640625" bestFit="1" customWidth="1"/>
    <col min="2566" max="2566" width="1.44140625" customWidth="1"/>
    <col min="2567" max="2567" width="9.5546875" bestFit="1" customWidth="1"/>
    <col min="2568" max="2568" width="25.33203125" bestFit="1" customWidth="1"/>
    <col min="2817" max="2817" width="18.6640625" bestFit="1" customWidth="1"/>
    <col min="2818" max="2818" width="12.109375" bestFit="1" customWidth="1"/>
    <col min="2820" max="2820" width="18.6640625" bestFit="1" customWidth="1"/>
    <col min="2821" max="2821" width="13.6640625" bestFit="1" customWidth="1"/>
    <col min="2822" max="2822" width="1.44140625" customWidth="1"/>
    <col min="2823" max="2823" width="9.5546875" bestFit="1" customWidth="1"/>
    <col min="2824" max="2824" width="25.33203125" bestFit="1" customWidth="1"/>
    <col min="3073" max="3073" width="18.6640625" bestFit="1" customWidth="1"/>
    <col min="3074" max="3074" width="12.109375" bestFit="1" customWidth="1"/>
    <col min="3076" max="3076" width="18.6640625" bestFit="1" customWidth="1"/>
    <col min="3077" max="3077" width="13.6640625" bestFit="1" customWidth="1"/>
    <col min="3078" max="3078" width="1.44140625" customWidth="1"/>
    <col min="3079" max="3079" width="9.5546875" bestFit="1" customWidth="1"/>
    <col min="3080" max="3080" width="25.33203125" bestFit="1" customWidth="1"/>
    <col min="3329" max="3329" width="18.6640625" bestFit="1" customWidth="1"/>
    <col min="3330" max="3330" width="12.109375" bestFit="1" customWidth="1"/>
    <col min="3332" max="3332" width="18.6640625" bestFit="1" customWidth="1"/>
    <col min="3333" max="3333" width="13.6640625" bestFit="1" customWidth="1"/>
    <col min="3334" max="3334" width="1.44140625" customWidth="1"/>
    <col min="3335" max="3335" width="9.5546875" bestFit="1" customWidth="1"/>
    <col min="3336" max="3336" width="25.33203125" bestFit="1" customWidth="1"/>
    <col min="3585" max="3585" width="18.6640625" bestFit="1" customWidth="1"/>
    <col min="3586" max="3586" width="12.109375" bestFit="1" customWidth="1"/>
    <col min="3588" max="3588" width="18.6640625" bestFit="1" customWidth="1"/>
    <col min="3589" max="3589" width="13.6640625" bestFit="1" customWidth="1"/>
    <col min="3590" max="3590" width="1.44140625" customWidth="1"/>
    <col min="3591" max="3591" width="9.5546875" bestFit="1" customWidth="1"/>
    <col min="3592" max="3592" width="25.33203125" bestFit="1" customWidth="1"/>
    <col min="3841" max="3841" width="18.6640625" bestFit="1" customWidth="1"/>
    <col min="3842" max="3842" width="12.109375" bestFit="1" customWidth="1"/>
    <col min="3844" max="3844" width="18.6640625" bestFit="1" customWidth="1"/>
    <col min="3845" max="3845" width="13.6640625" bestFit="1" customWidth="1"/>
    <col min="3846" max="3846" width="1.44140625" customWidth="1"/>
    <col min="3847" max="3847" width="9.5546875" bestFit="1" customWidth="1"/>
    <col min="3848" max="3848" width="25.33203125" bestFit="1" customWidth="1"/>
    <col min="4097" max="4097" width="18.6640625" bestFit="1" customWidth="1"/>
    <col min="4098" max="4098" width="12.109375" bestFit="1" customWidth="1"/>
    <col min="4100" max="4100" width="18.6640625" bestFit="1" customWidth="1"/>
    <col min="4101" max="4101" width="13.6640625" bestFit="1" customWidth="1"/>
    <col min="4102" max="4102" width="1.44140625" customWidth="1"/>
    <col min="4103" max="4103" width="9.5546875" bestFit="1" customWidth="1"/>
    <col min="4104" max="4104" width="25.33203125" bestFit="1" customWidth="1"/>
    <col min="4353" max="4353" width="18.6640625" bestFit="1" customWidth="1"/>
    <col min="4354" max="4354" width="12.109375" bestFit="1" customWidth="1"/>
    <col min="4356" max="4356" width="18.6640625" bestFit="1" customWidth="1"/>
    <col min="4357" max="4357" width="13.6640625" bestFit="1" customWidth="1"/>
    <col min="4358" max="4358" width="1.44140625" customWidth="1"/>
    <col min="4359" max="4359" width="9.5546875" bestFit="1" customWidth="1"/>
    <col min="4360" max="4360" width="25.33203125" bestFit="1" customWidth="1"/>
    <col min="4609" max="4609" width="18.6640625" bestFit="1" customWidth="1"/>
    <col min="4610" max="4610" width="12.109375" bestFit="1" customWidth="1"/>
    <col min="4612" max="4612" width="18.6640625" bestFit="1" customWidth="1"/>
    <col min="4613" max="4613" width="13.6640625" bestFit="1" customWidth="1"/>
    <col min="4614" max="4614" width="1.44140625" customWidth="1"/>
    <col min="4615" max="4615" width="9.5546875" bestFit="1" customWidth="1"/>
    <col min="4616" max="4616" width="25.33203125" bestFit="1" customWidth="1"/>
    <col min="4865" max="4865" width="18.6640625" bestFit="1" customWidth="1"/>
    <col min="4866" max="4866" width="12.109375" bestFit="1" customWidth="1"/>
    <col min="4868" max="4868" width="18.6640625" bestFit="1" customWidth="1"/>
    <col min="4869" max="4869" width="13.6640625" bestFit="1" customWidth="1"/>
    <col min="4870" max="4870" width="1.44140625" customWidth="1"/>
    <col min="4871" max="4871" width="9.5546875" bestFit="1" customWidth="1"/>
    <col min="4872" max="4872" width="25.33203125" bestFit="1" customWidth="1"/>
    <col min="5121" max="5121" width="18.6640625" bestFit="1" customWidth="1"/>
    <col min="5122" max="5122" width="12.109375" bestFit="1" customWidth="1"/>
    <col min="5124" max="5124" width="18.6640625" bestFit="1" customWidth="1"/>
    <col min="5125" max="5125" width="13.6640625" bestFit="1" customWidth="1"/>
    <col min="5126" max="5126" width="1.44140625" customWidth="1"/>
    <col min="5127" max="5127" width="9.5546875" bestFit="1" customWidth="1"/>
    <col min="5128" max="5128" width="25.33203125" bestFit="1" customWidth="1"/>
    <col min="5377" max="5377" width="18.6640625" bestFit="1" customWidth="1"/>
    <col min="5378" max="5378" width="12.109375" bestFit="1" customWidth="1"/>
    <col min="5380" max="5380" width="18.6640625" bestFit="1" customWidth="1"/>
    <col min="5381" max="5381" width="13.6640625" bestFit="1" customWidth="1"/>
    <col min="5382" max="5382" width="1.44140625" customWidth="1"/>
    <col min="5383" max="5383" width="9.5546875" bestFit="1" customWidth="1"/>
    <col min="5384" max="5384" width="25.33203125" bestFit="1" customWidth="1"/>
    <col min="5633" max="5633" width="18.6640625" bestFit="1" customWidth="1"/>
    <col min="5634" max="5634" width="12.109375" bestFit="1" customWidth="1"/>
    <col min="5636" max="5636" width="18.6640625" bestFit="1" customWidth="1"/>
    <col min="5637" max="5637" width="13.6640625" bestFit="1" customWidth="1"/>
    <col min="5638" max="5638" width="1.44140625" customWidth="1"/>
    <col min="5639" max="5639" width="9.5546875" bestFit="1" customWidth="1"/>
    <col min="5640" max="5640" width="25.33203125" bestFit="1" customWidth="1"/>
    <col min="5889" max="5889" width="18.6640625" bestFit="1" customWidth="1"/>
    <col min="5890" max="5890" width="12.109375" bestFit="1" customWidth="1"/>
    <col min="5892" max="5892" width="18.6640625" bestFit="1" customWidth="1"/>
    <col min="5893" max="5893" width="13.6640625" bestFit="1" customWidth="1"/>
    <col min="5894" max="5894" width="1.44140625" customWidth="1"/>
    <col min="5895" max="5895" width="9.5546875" bestFit="1" customWidth="1"/>
    <col min="5896" max="5896" width="25.33203125" bestFit="1" customWidth="1"/>
    <col min="6145" max="6145" width="18.6640625" bestFit="1" customWidth="1"/>
    <col min="6146" max="6146" width="12.109375" bestFit="1" customWidth="1"/>
    <col min="6148" max="6148" width="18.6640625" bestFit="1" customWidth="1"/>
    <col min="6149" max="6149" width="13.6640625" bestFit="1" customWidth="1"/>
    <col min="6150" max="6150" width="1.44140625" customWidth="1"/>
    <col min="6151" max="6151" width="9.5546875" bestFit="1" customWidth="1"/>
    <col min="6152" max="6152" width="25.33203125" bestFit="1" customWidth="1"/>
    <col min="6401" max="6401" width="18.6640625" bestFit="1" customWidth="1"/>
    <col min="6402" max="6402" width="12.109375" bestFit="1" customWidth="1"/>
    <col min="6404" max="6404" width="18.6640625" bestFit="1" customWidth="1"/>
    <col min="6405" max="6405" width="13.6640625" bestFit="1" customWidth="1"/>
    <col min="6406" max="6406" width="1.44140625" customWidth="1"/>
    <col min="6407" max="6407" width="9.5546875" bestFit="1" customWidth="1"/>
    <col min="6408" max="6408" width="25.33203125" bestFit="1" customWidth="1"/>
    <col min="6657" max="6657" width="18.6640625" bestFit="1" customWidth="1"/>
    <col min="6658" max="6658" width="12.109375" bestFit="1" customWidth="1"/>
    <col min="6660" max="6660" width="18.6640625" bestFit="1" customWidth="1"/>
    <col min="6661" max="6661" width="13.6640625" bestFit="1" customWidth="1"/>
    <col min="6662" max="6662" width="1.44140625" customWidth="1"/>
    <col min="6663" max="6663" width="9.5546875" bestFit="1" customWidth="1"/>
    <col min="6664" max="6664" width="25.33203125" bestFit="1" customWidth="1"/>
    <col min="6913" max="6913" width="18.6640625" bestFit="1" customWidth="1"/>
    <col min="6914" max="6914" width="12.109375" bestFit="1" customWidth="1"/>
    <col min="6916" max="6916" width="18.6640625" bestFit="1" customWidth="1"/>
    <col min="6917" max="6917" width="13.6640625" bestFit="1" customWidth="1"/>
    <col min="6918" max="6918" width="1.44140625" customWidth="1"/>
    <col min="6919" max="6919" width="9.5546875" bestFit="1" customWidth="1"/>
    <col min="6920" max="6920" width="25.33203125" bestFit="1" customWidth="1"/>
    <col min="7169" max="7169" width="18.6640625" bestFit="1" customWidth="1"/>
    <col min="7170" max="7170" width="12.109375" bestFit="1" customWidth="1"/>
    <col min="7172" max="7172" width="18.6640625" bestFit="1" customWidth="1"/>
    <col min="7173" max="7173" width="13.6640625" bestFit="1" customWidth="1"/>
    <col min="7174" max="7174" width="1.44140625" customWidth="1"/>
    <col min="7175" max="7175" width="9.5546875" bestFit="1" customWidth="1"/>
    <col min="7176" max="7176" width="25.33203125" bestFit="1" customWidth="1"/>
    <col min="7425" max="7425" width="18.6640625" bestFit="1" customWidth="1"/>
    <col min="7426" max="7426" width="12.109375" bestFit="1" customWidth="1"/>
    <col min="7428" max="7428" width="18.6640625" bestFit="1" customWidth="1"/>
    <col min="7429" max="7429" width="13.6640625" bestFit="1" customWidth="1"/>
    <col min="7430" max="7430" width="1.44140625" customWidth="1"/>
    <col min="7431" max="7431" width="9.5546875" bestFit="1" customWidth="1"/>
    <col min="7432" max="7432" width="25.33203125" bestFit="1" customWidth="1"/>
    <col min="7681" max="7681" width="18.6640625" bestFit="1" customWidth="1"/>
    <col min="7682" max="7682" width="12.109375" bestFit="1" customWidth="1"/>
    <col min="7684" max="7684" width="18.6640625" bestFit="1" customWidth="1"/>
    <col min="7685" max="7685" width="13.6640625" bestFit="1" customWidth="1"/>
    <col min="7686" max="7686" width="1.44140625" customWidth="1"/>
    <col min="7687" max="7687" width="9.5546875" bestFit="1" customWidth="1"/>
    <col min="7688" max="7688" width="25.33203125" bestFit="1" customWidth="1"/>
    <col min="7937" max="7937" width="18.6640625" bestFit="1" customWidth="1"/>
    <col min="7938" max="7938" width="12.109375" bestFit="1" customWidth="1"/>
    <col min="7940" max="7940" width="18.6640625" bestFit="1" customWidth="1"/>
    <col min="7941" max="7941" width="13.6640625" bestFit="1" customWidth="1"/>
    <col min="7942" max="7942" width="1.44140625" customWidth="1"/>
    <col min="7943" max="7943" width="9.5546875" bestFit="1" customWidth="1"/>
    <col min="7944" max="7944" width="25.33203125" bestFit="1" customWidth="1"/>
    <col min="8193" max="8193" width="18.6640625" bestFit="1" customWidth="1"/>
    <col min="8194" max="8194" width="12.109375" bestFit="1" customWidth="1"/>
    <col min="8196" max="8196" width="18.6640625" bestFit="1" customWidth="1"/>
    <col min="8197" max="8197" width="13.6640625" bestFit="1" customWidth="1"/>
    <col min="8198" max="8198" width="1.44140625" customWidth="1"/>
    <col min="8199" max="8199" width="9.5546875" bestFit="1" customWidth="1"/>
    <col min="8200" max="8200" width="25.33203125" bestFit="1" customWidth="1"/>
    <col min="8449" max="8449" width="18.6640625" bestFit="1" customWidth="1"/>
    <col min="8450" max="8450" width="12.109375" bestFit="1" customWidth="1"/>
    <col min="8452" max="8452" width="18.6640625" bestFit="1" customWidth="1"/>
    <col min="8453" max="8453" width="13.6640625" bestFit="1" customWidth="1"/>
    <col min="8454" max="8454" width="1.44140625" customWidth="1"/>
    <col min="8455" max="8455" width="9.5546875" bestFit="1" customWidth="1"/>
    <col min="8456" max="8456" width="25.33203125" bestFit="1" customWidth="1"/>
    <col min="8705" max="8705" width="18.6640625" bestFit="1" customWidth="1"/>
    <col min="8706" max="8706" width="12.109375" bestFit="1" customWidth="1"/>
    <col min="8708" max="8708" width="18.6640625" bestFit="1" customWidth="1"/>
    <col min="8709" max="8709" width="13.6640625" bestFit="1" customWidth="1"/>
    <col min="8710" max="8710" width="1.44140625" customWidth="1"/>
    <col min="8711" max="8711" width="9.5546875" bestFit="1" customWidth="1"/>
    <col min="8712" max="8712" width="25.33203125" bestFit="1" customWidth="1"/>
    <col min="8961" max="8961" width="18.6640625" bestFit="1" customWidth="1"/>
    <col min="8962" max="8962" width="12.109375" bestFit="1" customWidth="1"/>
    <col min="8964" max="8964" width="18.6640625" bestFit="1" customWidth="1"/>
    <col min="8965" max="8965" width="13.6640625" bestFit="1" customWidth="1"/>
    <col min="8966" max="8966" width="1.44140625" customWidth="1"/>
    <col min="8967" max="8967" width="9.5546875" bestFit="1" customWidth="1"/>
    <col min="8968" max="8968" width="25.33203125" bestFit="1" customWidth="1"/>
    <col min="9217" max="9217" width="18.6640625" bestFit="1" customWidth="1"/>
    <col min="9218" max="9218" width="12.109375" bestFit="1" customWidth="1"/>
    <col min="9220" max="9220" width="18.6640625" bestFit="1" customWidth="1"/>
    <col min="9221" max="9221" width="13.6640625" bestFit="1" customWidth="1"/>
    <col min="9222" max="9222" width="1.44140625" customWidth="1"/>
    <col min="9223" max="9223" width="9.5546875" bestFit="1" customWidth="1"/>
    <col min="9224" max="9224" width="25.33203125" bestFit="1" customWidth="1"/>
    <col min="9473" max="9473" width="18.6640625" bestFit="1" customWidth="1"/>
    <col min="9474" max="9474" width="12.109375" bestFit="1" customWidth="1"/>
    <col min="9476" max="9476" width="18.6640625" bestFit="1" customWidth="1"/>
    <col min="9477" max="9477" width="13.6640625" bestFit="1" customWidth="1"/>
    <col min="9478" max="9478" width="1.44140625" customWidth="1"/>
    <col min="9479" max="9479" width="9.5546875" bestFit="1" customWidth="1"/>
    <col min="9480" max="9480" width="25.33203125" bestFit="1" customWidth="1"/>
    <col min="9729" max="9729" width="18.6640625" bestFit="1" customWidth="1"/>
    <col min="9730" max="9730" width="12.109375" bestFit="1" customWidth="1"/>
    <col min="9732" max="9732" width="18.6640625" bestFit="1" customWidth="1"/>
    <col min="9733" max="9733" width="13.6640625" bestFit="1" customWidth="1"/>
    <col min="9734" max="9734" width="1.44140625" customWidth="1"/>
    <col min="9735" max="9735" width="9.5546875" bestFit="1" customWidth="1"/>
    <col min="9736" max="9736" width="25.33203125" bestFit="1" customWidth="1"/>
    <col min="9985" max="9985" width="18.6640625" bestFit="1" customWidth="1"/>
    <col min="9986" max="9986" width="12.109375" bestFit="1" customWidth="1"/>
    <col min="9988" max="9988" width="18.6640625" bestFit="1" customWidth="1"/>
    <col min="9989" max="9989" width="13.6640625" bestFit="1" customWidth="1"/>
    <col min="9990" max="9990" width="1.44140625" customWidth="1"/>
    <col min="9991" max="9991" width="9.5546875" bestFit="1" customWidth="1"/>
    <col min="9992" max="9992" width="25.33203125" bestFit="1" customWidth="1"/>
    <col min="10241" max="10241" width="18.6640625" bestFit="1" customWidth="1"/>
    <col min="10242" max="10242" width="12.109375" bestFit="1" customWidth="1"/>
    <col min="10244" max="10244" width="18.6640625" bestFit="1" customWidth="1"/>
    <col min="10245" max="10245" width="13.6640625" bestFit="1" customWidth="1"/>
    <col min="10246" max="10246" width="1.44140625" customWidth="1"/>
    <col min="10247" max="10247" width="9.5546875" bestFit="1" customWidth="1"/>
    <col min="10248" max="10248" width="25.33203125" bestFit="1" customWidth="1"/>
    <col min="10497" max="10497" width="18.6640625" bestFit="1" customWidth="1"/>
    <col min="10498" max="10498" width="12.109375" bestFit="1" customWidth="1"/>
    <col min="10500" max="10500" width="18.6640625" bestFit="1" customWidth="1"/>
    <col min="10501" max="10501" width="13.6640625" bestFit="1" customWidth="1"/>
    <col min="10502" max="10502" width="1.44140625" customWidth="1"/>
    <col min="10503" max="10503" width="9.5546875" bestFit="1" customWidth="1"/>
    <col min="10504" max="10504" width="25.33203125" bestFit="1" customWidth="1"/>
    <col min="10753" max="10753" width="18.6640625" bestFit="1" customWidth="1"/>
    <col min="10754" max="10754" width="12.109375" bestFit="1" customWidth="1"/>
    <col min="10756" max="10756" width="18.6640625" bestFit="1" customWidth="1"/>
    <col min="10757" max="10757" width="13.6640625" bestFit="1" customWidth="1"/>
    <col min="10758" max="10758" width="1.44140625" customWidth="1"/>
    <col min="10759" max="10759" width="9.5546875" bestFit="1" customWidth="1"/>
    <col min="10760" max="10760" width="25.33203125" bestFit="1" customWidth="1"/>
    <col min="11009" max="11009" width="18.6640625" bestFit="1" customWidth="1"/>
    <col min="11010" max="11010" width="12.109375" bestFit="1" customWidth="1"/>
    <col min="11012" max="11012" width="18.6640625" bestFit="1" customWidth="1"/>
    <col min="11013" max="11013" width="13.6640625" bestFit="1" customWidth="1"/>
    <col min="11014" max="11014" width="1.44140625" customWidth="1"/>
    <col min="11015" max="11015" width="9.5546875" bestFit="1" customWidth="1"/>
    <col min="11016" max="11016" width="25.33203125" bestFit="1" customWidth="1"/>
    <col min="11265" max="11265" width="18.6640625" bestFit="1" customWidth="1"/>
    <col min="11266" max="11266" width="12.109375" bestFit="1" customWidth="1"/>
    <col min="11268" max="11268" width="18.6640625" bestFit="1" customWidth="1"/>
    <col min="11269" max="11269" width="13.6640625" bestFit="1" customWidth="1"/>
    <col min="11270" max="11270" width="1.44140625" customWidth="1"/>
    <col min="11271" max="11271" width="9.5546875" bestFit="1" customWidth="1"/>
    <col min="11272" max="11272" width="25.33203125" bestFit="1" customWidth="1"/>
    <col min="11521" max="11521" width="18.6640625" bestFit="1" customWidth="1"/>
    <col min="11522" max="11522" width="12.109375" bestFit="1" customWidth="1"/>
    <col min="11524" max="11524" width="18.6640625" bestFit="1" customWidth="1"/>
    <col min="11525" max="11525" width="13.6640625" bestFit="1" customWidth="1"/>
    <col min="11526" max="11526" width="1.44140625" customWidth="1"/>
    <col min="11527" max="11527" width="9.5546875" bestFit="1" customWidth="1"/>
    <col min="11528" max="11528" width="25.33203125" bestFit="1" customWidth="1"/>
    <col min="11777" max="11777" width="18.6640625" bestFit="1" customWidth="1"/>
    <col min="11778" max="11778" width="12.109375" bestFit="1" customWidth="1"/>
    <col min="11780" max="11780" width="18.6640625" bestFit="1" customWidth="1"/>
    <col min="11781" max="11781" width="13.6640625" bestFit="1" customWidth="1"/>
    <col min="11782" max="11782" width="1.44140625" customWidth="1"/>
    <col min="11783" max="11783" width="9.5546875" bestFit="1" customWidth="1"/>
    <col min="11784" max="11784" width="25.33203125" bestFit="1" customWidth="1"/>
    <col min="12033" max="12033" width="18.6640625" bestFit="1" customWidth="1"/>
    <col min="12034" max="12034" width="12.109375" bestFit="1" customWidth="1"/>
    <col min="12036" max="12036" width="18.6640625" bestFit="1" customWidth="1"/>
    <col min="12037" max="12037" width="13.6640625" bestFit="1" customWidth="1"/>
    <col min="12038" max="12038" width="1.44140625" customWidth="1"/>
    <col min="12039" max="12039" width="9.5546875" bestFit="1" customWidth="1"/>
    <col min="12040" max="12040" width="25.33203125" bestFit="1" customWidth="1"/>
    <col min="12289" max="12289" width="18.6640625" bestFit="1" customWidth="1"/>
    <col min="12290" max="12290" width="12.109375" bestFit="1" customWidth="1"/>
    <col min="12292" max="12292" width="18.6640625" bestFit="1" customWidth="1"/>
    <col min="12293" max="12293" width="13.6640625" bestFit="1" customWidth="1"/>
    <col min="12294" max="12294" width="1.44140625" customWidth="1"/>
    <col min="12295" max="12295" width="9.5546875" bestFit="1" customWidth="1"/>
    <col min="12296" max="12296" width="25.33203125" bestFit="1" customWidth="1"/>
    <col min="12545" max="12545" width="18.6640625" bestFit="1" customWidth="1"/>
    <col min="12546" max="12546" width="12.109375" bestFit="1" customWidth="1"/>
    <col min="12548" max="12548" width="18.6640625" bestFit="1" customWidth="1"/>
    <col min="12549" max="12549" width="13.6640625" bestFit="1" customWidth="1"/>
    <col min="12550" max="12550" width="1.44140625" customWidth="1"/>
    <col min="12551" max="12551" width="9.5546875" bestFit="1" customWidth="1"/>
    <col min="12552" max="12552" width="25.33203125" bestFit="1" customWidth="1"/>
    <col min="12801" max="12801" width="18.6640625" bestFit="1" customWidth="1"/>
    <col min="12802" max="12802" width="12.109375" bestFit="1" customWidth="1"/>
    <col min="12804" max="12804" width="18.6640625" bestFit="1" customWidth="1"/>
    <col min="12805" max="12805" width="13.6640625" bestFit="1" customWidth="1"/>
    <col min="12806" max="12806" width="1.44140625" customWidth="1"/>
    <col min="12807" max="12807" width="9.5546875" bestFit="1" customWidth="1"/>
    <col min="12808" max="12808" width="25.33203125" bestFit="1" customWidth="1"/>
    <col min="13057" max="13057" width="18.6640625" bestFit="1" customWidth="1"/>
    <col min="13058" max="13058" width="12.109375" bestFit="1" customWidth="1"/>
    <col min="13060" max="13060" width="18.6640625" bestFit="1" customWidth="1"/>
    <col min="13061" max="13061" width="13.6640625" bestFit="1" customWidth="1"/>
    <col min="13062" max="13062" width="1.44140625" customWidth="1"/>
    <col min="13063" max="13063" width="9.5546875" bestFit="1" customWidth="1"/>
    <col min="13064" max="13064" width="25.33203125" bestFit="1" customWidth="1"/>
    <col min="13313" max="13313" width="18.6640625" bestFit="1" customWidth="1"/>
    <col min="13314" max="13314" width="12.109375" bestFit="1" customWidth="1"/>
    <col min="13316" max="13316" width="18.6640625" bestFit="1" customWidth="1"/>
    <col min="13317" max="13317" width="13.6640625" bestFit="1" customWidth="1"/>
    <col min="13318" max="13318" width="1.44140625" customWidth="1"/>
    <col min="13319" max="13319" width="9.5546875" bestFit="1" customWidth="1"/>
    <col min="13320" max="13320" width="25.33203125" bestFit="1" customWidth="1"/>
    <col min="13569" max="13569" width="18.6640625" bestFit="1" customWidth="1"/>
    <col min="13570" max="13570" width="12.109375" bestFit="1" customWidth="1"/>
    <col min="13572" max="13572" width="18.6640625" bestFit="1" customWidth="1"/>
    <col min="13573" max="13573" width="13.6640625" bestFit="1" customWidth="1"/>
    <col min="13574" max="13574" width="1.44140625" customWidth="1"/>
    <col min="13575" max="13575" width="9.5546875" bestFit="1" customWidth="1"/>
    <col min="13576" max="13576" width="25.33203125" bestFit="1" customWidth="1"/>
    <col min="13825" max="13825" width="18.6640625" bestFit="1" customWidth="1"/>
    <col min="13826" max="13826" width="12.109375" bestFit="1" customWidth="1"/>
    <col min="13828" max="13828" width="18.6640625" bestFit="1" customWidth="1"/>
    <col min="13829" max="13829" width="13.6640625" bestFit="1" customWidth="1"/>
    <col min="13830" max="13830" width="1.44140625" customWidth="1"/>
    <col min="13831" max="13831" width="9.5546875" bestFit="1" customWidth="1"/>
    <col min="13832" max="13832" width="25.33203125" bestFit="1" customWidth="1"/>
    <col min="14081" max="14081" width="18.6640625" bestFit="1" customWidth="1"/>
    <col min="14082" max="14082" width="12.109375" bestFit="1" customWidth="1"/>
    <col min="14084" max="14084" width="18.6640625" bestFit="1" customWidth="1"/>
    <col min="14085" max="14085" width="13.6640625" bestFit="1" customWidth="1"/>
    <col min="14086" max="14086" width="1.44140625" customWidth="1"/>
    <col min="14087" max="14087" width="9.5546875" bestFit="1" customWidth="1"/>
    <col min="14088" max="14088" width="25.33203125" bestFit="1" customWidth="1"/>
    <col min="14337" max="14337" width="18.6640625" bestFit="1" customWidth="1"/>
    <col min="14338" max="14338" width="12.109375" bestFit="1" customWidth="1"/>
    <col min="14340" max="14340" width="18.6640625" bestFit="1" customWidth="1"/>
    <col min="14341" max="14341" width="13.6640625" bestFit="1" customWidth="1"/>
    <col min="14342" max="14342" width="1.44140625" customWidth="1"/>
    <col min="14343" max="14343" width="9.5546875" bestFit="1" customWidth="1"/>
    <col min="14344" max="14344" width="25.33203125" bestFit="1" customWidth="1"/>
    <col min="14593" max="14593" width="18.6640625" bestFit="1" customWidth="1"/>
    <col min="14594" max="14594" width="12.109375" bestFit="1" customWidth="1"/>
    <col min="14596" max="14596" width="18.6640625" bestFit="1" customWidth="1"/>
    <col min="14597" max="14597" width="13.6640625" bestFit="1" customWidth="1"/>
    <col min="14598" max="14598" width="1.44140625" customWidth="1"/>
    <col min="14599" max="14599" width="9.5546875" bestFit="1" customWidth="1"/>
    <col min="14600" max="14600" width="25.33203125" bestFit="1" customWidth="1"/>
    <col min="14849" max="14849" width="18.6640625" bestFit="1" customWidth="1"/>
    <col min="14850" max="14850" width="12.109375" bestFit="1" customWidth="1"/>
    <col min="14852" max="14852" width="18.6640625" bestFit="1" customWidth="1"/>
    <col min="14853" max="14853" width="13.6640625" bestFit="1" customWidth="1"/>
    <col min="14854" max="14854" width="1.44140625" customWidth="1"/>
    <col min="14855" max="14855" width="9.5546875" bestFit="1" customWidth="1"/>
    <col min="14856" max="14856" width="25.33203125" bestFit="1" customWidth="1"/>
    <col min="15105" max="15105" width="18.6640625" bestFit="1" customWidth="1"/>
    <col min="15106" max="15106" width="12.109375" bestFit="1" customWidth="1"/>
    <col min="15108" max="15108" width="18.6640625" bestFit="1" customWidth="1"/>
    <col min="15109" max="15109" width="13.6640625" bestFit="1" customWidth="1"/>
    <col min="15110" max="15110" width="1.44140625" customWidth="1"/>
    <col min="15111" max="15111" width="9.5546875" bestFit="1" customWidth="1"/>
    <col min="15112" max="15112" width="25.33203125" bestFit="1" customWidth="1"/>
    <col min="15361" max="15361" width="18.6640625" bestFit="1" customWidth="1"/>
    <col min="15362" max="15362" width="12.109375" bestFit="1" customWidth="1"/>
    <col min="15364" max="15364" width="18.6640625" bestFit="1" customWidth="1"/>
    <col min="15365" max="15365" width="13.6640625" bestFit="1" customWidth="1"/>
    <col min="15366" max="15366" width="1.44140625" customWidth="1"/>
    <col min="15367" max="15367" width="9.5546875" bestFit="1" customWidth="1"/>
    <col min="15368" max="15368" width="25.33203125" bestFit="1" customWidth="1"/>
    <col min="15617" max="15617" width="18.6640625" bestFit="1" customWidth="1"/>
    <col min="15618" max="15618" width="12.109375" bestFit="1" customWidth="1"/>
    <col min="15620" max="15620" width="18.6640625" bestFit="1" customWidth="1"/>
    <col min="15621" max="15621" width="13.6640625" bestFit="1" customWidth="1"/>
    <col min="15622" max="15622" width="1.44140625" customWidth="1"/>
    <col min="15623" max="15623" width="9.5546875" bestFit="1" customWidth="1"/>
    <col min="15624" max="15624" width="25.33203125" bestFit="1" customWidth="1"/>
    <col min="15873" max="15873" width="18.6640625" bestFit="1" customWidth="1"/>
    <col min="15874" max="15874" width="12.109375" bestFit="1" customWidth="1"/>
    <col min="15876" max="15876" width="18.6640625" bestFit="1" customWidth="1"/>
    <col min="15877" max="15877" width="13.6640625" bestFit="1" customWidth="1"/>
    <col min="15878" max="15878" width="1.44140625" customWidth="1"/>
    <col min="15879" max="15879" width="9.5546875" bestFit="1" customWidth="1"/>
    <col min="15880" max="15880" width="25.33203125" bestFit="1" customWidth="1"/>
    <col min="16129" max="16129" width="18.6640625" bestFit="1" customWidth="1"/>
    <col min="16130" max="16130" width="12.109375" bestFit="1" customWidth="1"/>
    <col min="16132" max="16132" width="18.6640625" bestFit="1" customWidth="1"/>
    <col min="16133" max="16133" width="13.6640625" bestFit="1" customWidth="1"/>
    <col min="16134" max="16134" width="1.44140625" customWidth="1"/>
    <col min="16135" max="16135" width="9.5546875" bestFit="1" customWidth="1"/>
    <col min="16136" max="16136" width="25.33203125" bestFit="1" customWidth="1"/>
  </cols>
  <sheetData>
    <row r="1" spans="1:7" x14ac:dyDescent="0.3">
      <c r="A1" s="40" t="s">
        <v>193</v>
      </c>
      <c r="B1" s="40"/>
      <c r="D1" s="40" t="s">
        <v>194</v>
      </c>
      <c r="E1" s="40"/>
    </row>
    <row r="2" spans="1:7" x14ac:dyDescent="0.3">
      <c r="A2" s="1" t="s">
        <v>195</v>
      </c>
      <c r="B2" s="1"/>
      <c r="D2" s="1" t="str">
        <f t="shared" ref="D2:D10" si="0">A2</f>
        <v>Current Cash Paid =</v>
      </c>
      <c r="E2" s="1">
        <v>30000</v>
      </c>
    </row>
    <row r="3" spans="1:7" x14ac:dyDescent="0.3">
      <c r="A3" s="1" t="s">
        <v>97</v>
      </c>
      <c r="B3" s="1">
        <v>6800</v>
      </c>
      <c r="D3" s="1" t="str">
        <f t="shared" si="0"/>
        <v>PMT =</v>
      </c>
      <c r="E3" s="1">
        <v>5500</v>
      </c>
    </row>
    <row r="4" spans="1:7" x14ac:dyDescent="0.3">
      <c r="A4" s="1" t="s">
        <v>77</v>
      </c>
      <c r="B4" s="1">
        <v>2</v>
      </c>
      <c r="D4" s="1" t="str">
        <f t="shared" si="0"/>
        <v>x =</v>
      </c>
      <c r="E4" s="1">
        <f>B4</f>
        <v>2</v>
      </c>
    </row>
    <row r="5" spans="1:7" x14ac:dyDescent="0.3">
      <c r="A5" s="1" t="s">
        <v>114</v>
      </c>
      <c r="B5" s="1">
        <v>12</v>
      </c>
      <c r="D5" s="1" t="str">
        <f t="shared" si="0"/>
        <v xml:space="preserve">n = </v>
      </c>
      <c r="E5" s="1">
        <f>B5</f>
        <v>12</v>
      </c>
    </row>
    <row r="6" spans="1:7" x14ac:dyDescent="0.3">
      <c r="A6" s="1" t="s">
        <v>57</v>
      </c>
      <c r="B6" s="1">
        <v>7.0000000000000007E-2</v>
      </c>
      <c r="D6" s="1" t="str">
        <f t="shared" si="0"/>
        <v>APR = i =</v>
      </c>
      <c r="E6" s="1">
        <f>B6</f>
        <v>7.0000000000000007E-2</v>
      </c>
    </row>
    <row r="7" spans="1:7" x14ac:dyDescent="0.3">
      <c r="A7" s="1" t="s">
        <v>96</v>
      </c>
      <c r="B7" s="2"/>
      <c r="D7" s="1" t="str">
        <f t="shared" si="0"/>
        <v>i/n =</v>
      </c>
      <c r="E7" s="2"/>
    </row>
    <row r="8" spans="1:7" x14ac:dyDescent="0.3">
      <c r="A8" s="1" t="s">
        <v>196</v>
      </c>
      <c r="B8" s="2"/>
      <c r="D8" s="1" t="str">
        <f t="shared" si="0"/>
        <v>n*x =</v>
      </c>
      <c r="E8" s="2"/>
      <c r="G8" s="82" t="s">
        <v>197</v>
      </c>
    </row>
    <row r="9" spans="1:7" x14ac:dyDescent="0.3">
      <c r="A9" s="1" t="s">
        <v>102</v>
      </c>
      <c r="B9" s="30"/>
      <c r="D9" s="1" t="str">
        <f t="shared" si="0"/>
        <v>PV =</v>
      </c>
      <c r="E9" s="30"/>
      <c r="G9" s="30"/>
    </row>
    <row r="10" spans="1:7" x14ac:dyDescent="0.3">
      <c r="A10" s="1" t="s">
        <v>95</v>
      </c>
      <c r="B10" s="30"/>
      <c r="D10" s="1" t="str">
        <f t="shared" si="0"/>
        <v>FV =</v>
      </c>
      <c r="E10" s="30"/>
      <c r="G10" s="30"/>
    </row>
    <row r="12" spans="1:7" x14ac:dyDescent="0.3">
      <c r="A12" s="118"/>
      <c r="B12" s="118"/>
      <c r="C12" s="118"/>
      <c r="D12" s="118"/>
      <c r="E12" s="118"/>
    </row>
  </sheetData>
  <pageMargins left="0.75" right="0.75" top="1" bottom="1" header="0.5" footer="0.5"/>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2"/>
  <sheetViews>
    <sheetView workbookViewId="0">
      <selection activeCell="B15" sqref="B15"/>
    </sheetView>
  </sheetViews>
  <sheetFormatPr defaultRowHeight="14.4" x14ac:dyDescent="0.3"/>
  <cols>
    <col min="1" max="1" width="18.6640625" bestFit="1" customWidth="1"/>
    <col min="2" max="2" width="12.109375" bestFit="1" customWidth="1"/>
    <col min="4" max="4" width="18.6640625" bestFit="1" customWidth="1"/>
    <col min="5" max="5" width="13.6640625" bestFit="1" customWidth="1"/>
    <col min="6" max="6" width="1.44140625" customWidth="1"/>
    <col min="7" max="7" width="10.44140625" bestFit="1" customWidth="1"/>
    <col min="8" max="8" width="27.44140625" bestFit="1" customWidth="1"/>
    <col min="257" max="257" width="18.6640625" bestFit="1" customWidth="1"/>
    <col min="258" max="258" width="12.109375" bestFit="1" customWidth="1"/>
    <col min="260" max="260" width="18.6640625" bestFit="1" customWidth="1"/>
    <col min="261" max="261" width="13.6640625" bestFit="1" customWidth="1"/>
    <col min="262" max="262" width="1.44140625" customWidth="1"/>
    <col min="263" max="263" width="9.5546875" bestFit="1" customWidth="1"/>
    <col min="264" max="264" width="25.33203125" bestFit="1" customWidth="1"/>
    <col min="513" max="513" width="18.6640625" bestFit="1" customWidth="1"/>
    <col min="514" max="514" width="12.109375" bestFit="1" customWidth="1"/>
    <col min="516" max="516" width="18.6640625" bestFit="1" customWidth="1"/>
    <col min="517" max="517" width="13.6640625" bestFit="1" customWidth="1"/>
    <col min="518" max="518" width="1.44140625" customWidth="1"/>
    <col min="519" max="519" width="9.5546875" bestFit="1" customWidth="1"/>
    <col min="520" max="520" width="25.33203125" bestFit="1" customWidth="1"/>
    <col min="769" max="769" width="18.6640625" bestFit="1" customWidth="1"/>
    <col min="770" max="770" width="12.109375" bestFit="1" customWidth="1"/>
    <col min="772" max="772" width="18.6640625" bestFit="1" customWidth="1"/>
    <col min="773" max="773" width="13.6640625" bestFit="1" customWidth="1"/>
    <col min="774" max="774" width="1.44140625" customWidth="1"/>
    <col min="775" max="775" width="9.5546875" bestFit="1" customWidth="1"/>
    <col min="776" max="776" width="25.33203125" bestFit="1" customWidth="1"/>
    <col min="1025" max="1025" width="18.6640625" bestFit="1" customWidth="1"/>
    <col min="1026" max="1026" width="12.109375" bestFit="1" customWidth="1"/>
    <col min="1028" max="1028" width="18.6640625" bestFit="1" customWidth="1"/>
    <col min="1029" max="1029" width="13.6640625" bestFit="1" customWidth="1"/>
    <col min="1030" max="1030" width="1.44140625" customWidth="1"/>
    <col min="1031" max="1031" width="9.5546875" bestFit="1" customWidth="1"/>
    <col min="1032" max="1032" width="25.33203125" bestFit="1" customWidth="1"/>
    <col min="1281" max="1281" width="18.6640625" bestFit="1" customWidth="1"/>
    <col min="1282" max="1282" width="12.109375" bestFit="1" customWidth="1"/>
    <col min="1284" max="1284" width="18.6640625" bestFit="1" customWidth="1"/>
    <col min="1285" max="1285" width="13.6640625" bestFit="1" customWidth="1"/>
    <col min="1286" max="1286" width="1.44140625" customWidth="1"/>
    <col min="1287" max="1287" width="9.5546875" bestFit="1" customWidth="1"/>
    <col min="1288" max="1288" width="25.33203125" bestFit="1" customWidth="1"/>
    <col min="1537" max="1537" width="18.6640625" bestFit="1" customWidth="1"/>
    <col min="1538" max="1538" width="12.109375" bestFit="1" customWidth="1"/>
    <col min="1540" max="1540" width="18.6640625" bestFit="1" customWidth="1"/>
    <col min="1541" max="1541" width="13.6640625" bestFit="1" customWidth="1"/>
    <col min="1542" max="1542" width="1.44140625" customWidth="1"/>
    <col min="1543" max="1543" width="9.5546875" bestFit="1" customWidth="1"/>
    <col min="1544" max="1544" width="25.33203125" bestFit="1" customWidth="1"/>
    <col min="1793" max="1793" width="18.6640625" bestFit="1" customWidth="1"/>
    <col min="1794" max="1794" width="12.109375" bestFit="1" customWidth="1"/>
    <col min="1796" max="1796" width="18.6640625" bestFit="1" customWidth="1"/>
    <col min="1797" max="1797" width="13.6640625" bestFit="1" customWidth="1"/>
    <col min="1798" max="1798" width="1.44140625" customWidth="1"/>
    <col min="1799" max="1799" width="9.5546875" bestFit="1" customWidth="1"/>
    <col min="1800" max="1800" width="25.33203125" bestFit="1" customWidth="1"/>
    <col min="2049" max="2049" width="18.6640625" bestFit="1" customWidth="1"/>
    <col min="2050" max="2050" width="12.109375" bestFit="1" customWidth="1"/>
    <col min="2052" max="2052" width="18.6640625" bestFit="1" customWidth="1"/>
    <col min="2053" max="2053" width="13.6640625" bestFit="1" customWidth="1"/>
    <col min="2054" max="2054" width="1.44140625" customWidth="1"/>
    <col min="2055" max="2055" width="9.5546875" bestFit="1" customWidth="1"/>
    <col min="2056" max="2056" width="25.33203125" bestFit="1" customWidth="1"/>
    <col min="2305" max="2305" width="18.6640625" bestFit="1" customWidth="1"/>
    <col min="2306" max="2306" width="12.109375" bestFit="1" customWidth="1"/>
    <col min="2308" max="2308" width="18.6640625" bestFit="1" customWidth="1"/>
    <col min="2309" max="2309" width="13.6640625" bestFit="1" customWidth="1"/>
    <col min="2310" max="2310" width="1.44140625" customWidth="1"/>
    <col min="2311" max="2311" width="9.5546875" bestFit="1" customWidth="1"/>
    <col min="2312" max="2312" width="25.33203125" bestFit="1" customWidth="1"/>
    <col min="2561" max="2561" width="18.6640625" bestFit="1" customWidth="1"/>
    <col min="2562" max="2562" width="12.109375" bestFit="1" customWidth="1"/>
    <col min="2564" max="2564" width="18.6640625" bestFit="1" customWidth="1"/>
    <col min="2565" max="2565" width="13.6640625" bestFit="1" customWidth="1"/>
    <col min="2566" max="2566" width="1.44140625" customWidth="1"/>
    <col min="2567" max="2567" width="9.5546875" bestFit="1" customWidth="1"/>
    <col min="2568" max="2568" width="25.33203125" bestFit="1" customWidth="1"/>
    <col min="2817" max="2817" width="18.6640625" bestFit="1" customWidth="1"/>
    <col min="2818" max="2818" width="12.109375" bestFit="1" customWidth="1"/>
    <col min="2820" max="2820" width="18.6640625" bestFit="1" customWidth="1"/>
    <col min="2821" max="2821" width="13.6640625" bestFit="1" customWidth="1"/>
    <col min="2822" max="2822" width="1.44140625" customWidth="1"/>
    <col min="2823" max="2823" width="9.5546875" bestFit="1" customWidth="1"/>
    <col min="2824" max="2824" width="25.33203125" bestFit="1" customWidth="1"/>
    <col min="3073" max="3073" width="18.6640625" bestFit="1" customWidth="1"/>
    <col min="3074" max="3074" width="12.109375" bestFit="1" customWidth="1"/>
    <col min="3076" max="3076" width="18.6640625" bestFit="1" customWidth="1"/>
    <col min="3077" max="3077" width="13.6640625" bestFit="1" customWidth="1"/>
    <col min="3078" max="3078" width="1.44140625" customWidth="1"/>
    <col min="3079" max="3079" width="9.5546875" bestFit="1" customWidth="1"/>
    <col min="3080" max="3080" width="25.33203125" bestFit="1" customWidth="1"/>
    <col min="3329" max="3329" width="18.6640625" bestFit="1" customWidth="1"/>
    <col min="3330" max="3330" width="12.109375" bestFit="1" customWidth="1"/>
    <col min="3332" max="3332" width="18.6640625" bestFit="1" customWidth="1"/>
    <col min="3333" max="3333" width="13.6640625" bestFit="1" customWidth="1"/>
    <col min="3334" max="3334" width="1.44140625" customWidth="1"/>
    <col min="3335" max="3335" width="9.5546875" bestFit="1" customWidth="1"/>
    <col min="3336" max="3336" width="25.33203125" bestFit="1" customWidth="1"/>
    <col min="3585" max="3585" width="18.6640625" bestFit="1" customWidth="1"/>
    <col min="3586" max="3586" width="12.109375" bestFit="1" customWidth="1"/>
    <col min="3588" max="3588" width="18.6640625" bestFit="1" customWidth="1"/>
    <col min="3589" max="3589" width="13.6640625" bestFit="1" customWidth="1"/>
    <col min="3590" max="3590" width="1.44140625" customWidth="1"/>
    <col min="3591" max="3591" width="9.5546875" bestFit="1" customWidth="1"/>
    <col min="3592" max="3592" width="25.33203125" bestFit="1" customWidth="1"/>
    <col min="3841" max="3841" width="18.6640625" bestFit="1" customWidth="1"/>
    <col min="3842" max="3842" width="12.109375" bestFit="1" customWidth="1"/>
    <col min="3844" max="3844" width="18.6640625" bestFit="1" customWidth="1"/>
    <col min="3845" max="3845" width="13.6640625" bestFit="1" customWidth="1"/>
    <col min="3846" max="3846" width="1.44140625" customWidth="1"/>
    <col min="3847" max="3847" width="9.5546875" bestFit="1" customWidth="1"/>
    <col min="3848" max="3848" width="25.33203125" bestFit="1" customWidth="1"/>
    <col min="4097" max="4097" width="18.6640625" bestFit="1" customWidth="1"/>
    <col min="4098" max="4098" width="12.109375" bestFit="1" customWidth="1"/>
    <col min="4100" max="4100" width="18.6640625" bestFit="1" customWidth="1"/>
    <col min="4101" max="4101" width="13.6640625" bestFit="1" customWidth="1"/>
    <col min="4102" max="4102" width="1.44140625" customWidth="1"/>
    <col min="4103" max="4103" width="9.5546875" bestFit="1" customWidth="1"/>
    <col min="4104" max="4104" width="25.33203125" bestFit="1" customWidth="1"/>
    <col min="4353" max="4353" width="18.6640625" bestFit="1" customWidth="1"/>
    <col min="4354" max="4354" width="12.109375" bestFit="1" customWidth="1"/>
    <col min="4356" max="4356" width="18.6640625" bestFit="1" customWidth="1"/>
    <col min="4357" max="4357" width="13.6640625" bestFit="1" customWidth="1"/>
    <col min="4358" max="4358" width="1.44140625" customWidth="1"/>
    <col min="4359" max="4359" width="9.5546875" bestFit="1" customWidth="1"/>
    <col min="4360" max="4360" width="25.33203125" bestFit="1" customWidth="1"/>
    <col min="4609" max="4609" width="18.6640625" bestFit="1" customWidth="1"/>
    <col min="4610" max="4610" width="12.109375" bestFit="1" customWidth="1"/>
    <col min="4612" max="4612" width="18.6640625" bestFit="1" customWidth="1"/>
    <col min="4613" max="4613" width="13.6640625" bestFit="1" customWidth="1"/>
    <col min="4614" max="4614" width="1.44140625" customWidth="1"/>
    <col min="4615" max="4615" width="9.5546875" bestFit="1" customWidth="1"/>
    <col min="4616" max="4616" width="25.33203125" bestFit="1" customWidth="1"/>
    <col min="4865" max="4865" width="18.6640625" bestFit="1" customWidth="1"/>
    <col min="4866" max="4866" width="12.109375" bestFit="1" customWidth="1"/>
    <col min="4868" max="4868" width="18.6640625" bestFit="1" customWidth="1"/>
    <col min="4869" max="4869" width="13.6640625" bestFit="1" customWidth="1"/>
    <col min="4870" max="4870" width="1.44140625" customWidth="1"/>
    <col min="4871" max="4871" width="9.5546875" bestFit="1" customWidth="1"/>
    <col min="4872" max="4872" width="25.33203125" bestFit="1" customWidth="1"/>
    <col min="5121" max="5121" width="18.6640625" bestFit="1" customWidth="1"/>
    <col min="5122" max="5122" width="12.109375" bestFit="1" customWidth="1"/>
    <col min="5124" max="5124" width="18.6640625" bestFit="1" customWidth="1"/>
    <col min="5125" max="5125" width="13.6640625" bestFit="1" customWidth="1"/>
    <col min="5126" max="5126" width="1.44140625" customWidth="1"/>
    <col min="5127" max="5127" width="9.5546875" bestFit="1" customWidth="1"/>
    <col min="5128" max="5128" width="25.33203125" bestFit="1" customWidth="1"/>
    <col min="5377" max="5377" width="18.6640625" bestFit="1" customWidth="1"/>
    <col min="5378" max="5378" width="12.109375" bestFit="1" customWidth="1"/>
    <col min="5380" max="5380" width="18.6640625" bestFit="1" customWidth="1"/>
    <col min="5381" max="5381" width="13.6640625" bestFit="1" customWidth="1"/>
    <col min="5382" max="5382" width="1.44140625" customWidth="1"/>
    <col min="5383" max="5383" width="9.5546875" bestFit="1" customWidth="1"/>
    <col min="5384" max="5384" width="25.33203125" bestFit="1" customWidth="1"/>
    <col min="5633" max="5633" width="18.6640625" bestFit="1" customWidth="1"/>
    <col min="5634" max="5634" width="12.109375" bestFit="1" customWidth="1"/>
    <col min="5636" max="5636" width="18.6640625" bestFit="1" customWidth="1"/>
    <col min="5637" max="5637" width="13.6640625" bestFit="1" customWidth="1"/>
    <col min="5638" max="5638" width="1.44140625" customWidth="1"/>
    <col min="5639" max="5639" width="9.5546875" bestFit="1" customWidth="1"/>
    <col min="5640" max="5640" width="25.33203125" bestFit="1" customWidth="1"/>
    <col min="5889" max="5889" width="18.6640625" bestFit="1" customWidth="1"/>
    <col min="5890" max="5890" width="12.109375" bestFit="1" customWidth="1"/>
    <col min="5892" max="5892" width="18.6640625" bestFit="1" customWidth="1"/>
    <col min="5893" max="5893" width="13.6640625" bestFit="1" customWidth="1"/>
    <col min="5894" max="5894" width="1.44140625" customWidth="1"/>
    <col min="5895" max="5895" width="9.5546875" bestFit="1" customWidth="1"/>
    <col min="5896" max="5896" width="25.33203125" bestFit="1" customWidth="1"/>
    <col min="6145" max="6145" width="18.6640625" bestFit="1" customWidth="1"/>
    <col min="6146" max="6146" width="12.109375" bestFit="1" customWidth="1"/>
    <col min="6148" max="6148" width="18.6640625" bestFit="1" customWidth="1"/>
    <col min="6149" max="6149" width="13.6640625" bestFit="1" customWidth="1"/>
    <col min="6150" max="6150" width="1.44140625" customWidth="1"/>
    <col min="6151" max="6151" width="9.5546875" bestFit="1" customWidth="1"/>
    <col min="6152" max="6152" width="25.33203125" bestFit="1" customWidth="1"/>
    <col min="6401" max="6401" width="18.6640625" bestFit="1" customWidth="1"/>
    <col min="6402" max="6402" width="12.109375" bestFit="1" customWidth="1"/>
    <col min="6404" max="6404" width="18.6640625" bestFit="1" customWidth="1"/>
    <col min="6405" max="6405" width="13.6640625" bestFit="1" customWidth="1"/>
    <col min="6406" max="6406" width="1.44140625" customWidth="1"/>
    <col min="6407" max="6407" width="9.5546875" bestFit="1" customWidth="1"/>
    <col min="6408" max="6408" width="25.33203125" bestFit="1" customWidth="1"/>
    <col min="6657" max="6657" width="18.6640625" bestFit="1" customWidth="1"/>
    <col min="6658" max="6658" width="12.109375" bestFit="1" customWidth="1"/>
    <col min="6660" max="6660" width="18.6640625" bestFit="1" customWidth="1"/>
    <col min="6661" max="6661" width="13.6640625" bestFit="1" customWidth="1"/>
    <col min="6662" max="6662" width="1.44140625" customWidth="1"/>
    <col min="6663" max="6663" width="9.5546875" bestFit="1" customWidth="1"/>
    <col min="6664" max="6664" width="25.33203125" bestFit="1" customWidth="1"/>
    <col min="6913" max="6913" width="18.6640625" bestFit="1" customWidth="1"/>
    <col min="6914" max="6914" width="12.109375" bestFit="1" customWidth="1"/>
    <col min="6916" max="6916" width="18.6640625" bestFit="1" customWidth="1"/>
    <col min="6917" max="6917" width="13.6640625" bestFit="1" customWidth="1"/>
    <col min="6918" max="6918" width="1.44140625" customWidth="1"/>
    <col min="6919" max="6919" width="9.5546875" bestFit="1" customWidth="1"/>
    <col min="6920" max="6920" width="25.33203125" bestFit="1" customWidth="1"/>
    <col min="7169" max="7169" width="18.6640625" bestFit="1" customWidth="1"/>
    <col min="7170" max="7170" width="12.109375" bestFit="1" customWidth="1"/>
    <col min="7172" max="7172" width="18.6640625" bestFit="1" customWidth="1"/>
    <col min="7173" max="7173" width="13.6640625" bestFit="1" customWidth="1"/>
    <col min="7174" max="7174" width="1.44140625" customWidth="1"/>
    <col min="7175" max="7175" width="9.5546875" bestFit="1" customWidth="1"/>
    <col min="7176" max="7176" width="25.33203125" bestFit="1" customWidth="1"/>
    <col min="7425" max="7425" width="18.6640625" bestFit="1" customWidth="1"/>
    <col min="7426" max="7426" width="12.109375" bestFit="1" customWidth="1"/>
    <col min="7428" max="7428" width="18.6640625" bestFit="1" customWidth="1"/>
    <col min="7429" max="7429" width="13.6640625" bestFit="1" customWidth="1"/>
    <col min="7430" max="7430" width="1.44140625" customWidth="1"/>
    <col min="7431" max="7431" width="9.5546875" bestFit="1" customWidth="1"/>
    <col min="7432" max="7432" width="25.33203125" bestFit="1" customWidth="1"/>
    <col min="7681" max="7681" width="18.6640625" bestFit="1" customWidth="1"/>
    <col min="7682" max="7682" width="12.109375" bestFit="1" customWidth="1"/>
    <col min="7684" max="7684" width="18.6640625" bestFit="1" customWidth="1"/>
    <col min="7685" max="7685" width="13.6640625" bestFit="1" customWidth="1"/>
    <col min="7686" max="7686" width="1.44140625" customWidth="1"/>
    <col min="7687" max="7687" width="9.5546875" bestFit="1" customWidth="1"/>
    <col min="7688" max="7688" width="25.33203125" bestFit="1" customWidth="1"/>
    <col min="7937" max="7937" width="18.6640625" bestFit="1" customWidth="1"/>
    <col min="7938" max="7938" width="12.109375" bestFit="1" customWidth="1"/>
    <col min="7940" max="7940" width="18.6640625" bestFit="1" customWidth="1"/>
    <col min="7941" max="7941" width="13.6640625" bestFit="1" customWidth="1"/>
    <col min="7942" max="7942" width="1.44140625" customWidth="1"/>
    <col min="7943" max="7943" width="9.5546875" bestFit="1" customWidth="1"/>
    <col min="7944" max="7944" width="25.33203125" bestFit="1" customWidth="1"/>
    <col min="8193" max="8193" width="18.6640625" bestFit="1" customWidth="1"/>
    <col min="8194" max="8194" width="12.109375" bestFit="1" customWidth="1"/>
    <col min="8196" max="8196" width="18.6640625" bestFit="1" customWidth="1"/>
    <col min="8197" max="8197" width="13.6640625" bestFit="1" customWidth="1"/>
    <col min="8198" max="8198" width="1.44140625" customWidth="1"/>
    <col min="8199" max="8199" width="9.5546875" bestFit="1" customWidth="1"/>
    <col min="8200" max="8200" width="25.33203125" bestFit="1" customWidth="1"/>
    <col min="8449" max="8449" width="18.6640625" bestFit="1" customWidth="1"/>
    <col min="8450" max="8450" width="12.109375" bestFit="1" customWidth="1"/>
    <col min="8452" max="8452" width="18.6640625" bestFit="1" customWidth="1"/>
    <col min="8453" max="8453" width="13.6640625" bestFit="1" customWidth="1"/>
    <col min="8454" max="8454" width="1.44140625" customWidth="1"/>
    <col min="8455" max="8455" width="9.5546875" bestFit="1" customWidth="1"/>
    <col min="8456" max="8456" width="25.33203125" bestFit="1" customWidth="1"/>
    <col min="8705" max="8705" width="18.6640625" bestFit="1" customWidth="1"/>
    <col min="8706" max="8706" width="12.109375" bestFit="1" customWidth="1"/>
    <col min="8708" max="8708" width="18.6640625" bestFit="1" customWidth="1"/>
    <col min="8709" max="8709" width="13.6640625" bestFit="1" customWidth="1"/>
    <col min="8710" max="8710" width="1.44140625" customWidth="1"/>
    <col min="8711" max="8711" width="9.5546875" bestFit="1" customWidth="1"/>
    <col min="8712" max="8712" width="25.33203125" bestFit="1" customWidth="1"/>
    <col min="8961" max="8961" width="18.6640625" bestFit="1" customWidth="1"/>
    <col min="8962" max="8962" width="12.109375" bestFit="1" customWidth="1"/>
    <col min="8964" max="8964" width="18.6640625" bestFit="1" customWidth="1"/>
    <col min="8965" max="8965" width="13.6640625" bestFit="1" customWidth="1"/>
    <col min="8966" max="8966" width="1.44140625" customWidth="1"/>
    <col min="8967" max="8967" width="9.5546875" bestFit="1" customWidth="1"/>
    <col min="8968" max="8968" width="25.33203125" bestFit="1" customWidth="1"/>
    <col min="9217" max="9217" width="18.6640625" bestFit="1" customWidth="1"/>
    <col min="9218" max="9218" width="12.109375" bestFit="1" customWidth="1"/>
    <col min="9220" max="9220" width="18.6640625" bestFit="1" customWidth="1"/>
    <col min="9221" max="9221" width="13.6640625" bestFit="1" customWidth="1"/>
    <col min="9222" max="9222" width="1.44140625" customWidth="1"/>
    <col min="9223" max="9223" width="9.5546875" bestFit="1" customWidth="1"/>
    <col min="9224" max="9224" width="25.33203125" bestFit="1" customWidth="1"/>
    <col min="9473" max="9473" width="18.6640625" bestFit="1" customWidth="1"/>
    <col min="9474" max="9474" width="12.109375" bestFit="1" customWidth="1"/>
    <col min="9476" max="9476" width="18.6640625" bestFit="1" customWidth="1"/>
    <col min="9477" max="9477" width="13.6640625" bestFit="1" customWidth="1"/>
    <col min="9478" max="9478" width="1.44140625" customWidth="1"/>
    <col min="9479" max="9479" width="9.5546875" bestFit="1" customWidth="1"/>
    <col min="9480" max="9480" width="25.33203125" bestFit="1" customWidth="1"/>
    <col min="9729" max="9729" width="18.6640625" bestFit="1" customWidth="1"/>
    <col min="9730" max="9730" width="12.109375" bestFit="1" customWidth="1"/>
    <col min="9732" max="9732" width="18.6640625" bestFit="1" customWidth="1"/>
    <col min="9733" max="9733" width="13.6640625" bestFit="1" customWidth="1"/>
    <col min="9734" max="9734" width="1.44140625" customWidth="1"/>
    <col min="9735" max="9735" width="9.5546875" bestFit="1" customWidth="1"/>
    <col min="9736" max="9736" width="25.33203125" bestFit="1" customWidth="1"/>
    <col min="9985" max="9985" width="18.6640625" bestFit="1" customWidth="1"/>
    <col min="9986" max="9986" width="12.109375" bestFit="1" customWidth="1"/>
    <col min="9988" max="9988" width="18.6640625" bestFit="1" customWidth="1"/>
    <col min="9989" max="9989" width="13.6640625" bestFit="1" customWidth="1"/>
    <col min="9990" max="9990" width="1.44140625" customWidth="1"/>
    <col min="9991" max="9991" width="9.5546875" bestFit="1" customWidth="1"/>
    <col min="9992" max="9992" width="25.33203125" bestFit="1" customWidth="1"/>
    <col min="10241" max="10241" width="18.6640625" bestFit="1" customWidth="1"/>
    <col min="10242" max="10242" width="12.109375" bestFit="1" customWidth="1"/>
    <col min="10244" max="10244" width="18.6640625" bestFit="1" customWidth="1"/>
    <col min="10245" max="10245" width="13.6640625" bestFit="1" customWidth="1"/>
    <col min="10246" max="10246" width="1.44140625" customWidth="1"/>
    <col min="10247" max="10247" width="9.5546875" bestFit="1" customWidth="1"/>
    <col min="10248" max="10248" width="25.33203125" bestFit="1" customWidth="1"/>
    <col min="10497" max="10497" width="18.6640625" bestFit="1" customWidth="1"/>
    <col min="10498" max="10498" width="12.109375" bestFit="1" customWidth="1"/>
    <col min="10500" max="10500" width="18.6640625" bestFit="1" customWidth="1"/>
    <col min="10501" max="10501" width="13.6640625" bestFit="1" customWidth="1"/>
    <col min="10502" max="10502" width="1.44140625" customWidth="1"/>
    <col min="10503" max="10503" width="9.5546875" bestFit="1" customWidth="1"/>
    <col min="10504" max="10504" width="25.33203125" bestFit="1" customWidth="1"/>
    <col min="10753" max="10753" width="18.6640625" bestFit="1" customWidth="1"/>
    <col min="10754" max="10754" width="12.109375" bestFit="1" customWidth="1"/>
    <col min="10756" max="10756" width="18.6640625" bestFit="1" customWidth="1"/>
    <col min="10757" max="10757" width="13.6640625" bestFit="1" customWidth="1"/>
    <col min="10758" max="10758" width="1.44140625" customWidth="1"/>
    <col min="10759" max="10759" width="9.5546875" bestFit="1" customWidth="1"/>
    <col min="10760" max="10760" width="25.33203125" bestFit="1" customWidth="1"/>
    <col min="11009" max="11009" width="18.6640625" bestFit="1" customWidth="1"/>
    <col min="11010" max="11010" width="12.109375" bestFit="1" customWidth="1"/>
    <col min="11012" max="11012" width="18.6640625" bestFit="1" customWidth="1"/>
    <col min="11013" max="11013" width="13.6640625" bestFit="1" customWidth="1"/>
    <col min="11014" max="11014" width="1.44140625" customWidth="1"/>
    <col min="11015" max="11015" width="9.5546875" bestFit="1" customWidth="1"/>
    <col min="11016" max="11016" width="25.33203125" bestFit="1" customWidth="1"/>
    <col min="11265" max="11265" width="18.6640625" bestFit="1" customWidth="1"/>
    <col min="11266" max="11266" width="12.109375" bestFit="1" customWidth="1"/>
    <col min="11268" max="11268" width="18.6640625" bestFit="1" customWidth="1"/>
    <col min="11269" max="11269" width="13.6640625" bestFit="1" customWidth="1"/>
    <col min="11270" max="11270" width="1.44140625" customWidth="1"/>
    <col min="11271" max="11271" width="9.5546875" bestFit="1" customWidth="1"/>
    <col min="11272" max="11272" width="25.33203125" bestFit="1" customWidth="1"/>
    <col min="11521" max="11521" width="18.6640625" bestFit="1" customWidth="1"/>
    <col min="11522" max="11522" width="12.109375" bestFit="1" customWidth="1"/>
    <col min="11524" max="11524" width="18.6640625" bestFit="1" customWidth="1"/>
    <col min="11525" max="11525" width="13.6640625" bestFit="1" customWidth="1"/>
    <col min="11526" max="11526" width="1.44140625" customWidth="1"/>
    <col min="11527" max="11527" width="9.5546875" bestFit="1" customWidth="1"/>
    <col min="11528" max="11528" width="25.33203125" bestFit="1" customWidth="1"/>
    <col min="11777" max="11777" width="18.6640625" bestFit="1" customWidth="1"/>
    <col min="11778" max="11778" width="12.109375" bestFit="1" customWidth="1"/>
    <col min="11780" max="11780" width="18.6640625" bestFit="1" customWidth="1"/>
    <col min="11781" max="11781" width="13.6640625" bestFit="1" customWidth="1"/>
    <col min="11782" max="11782" width="1.44140625" customWidth="1"/>
    <col min="11783" max="11783" width="9.5546875" bestFit="1" customWidth="1"/>
    <col min="11784" max="11784" width="25.33203125" bestFit="1" customWidth="1"/>
    <col min="12033" max="12033" width="18.6640625" bestFit="1" customWidth="1"/>
    <col min="12034" max="12034" width="12.109375" bestFit="1" customWidth="1"/>
    <col min="12036" max="12036" width="18.6640625" bestFit="1" customWidth="1"/>
    <col min="12037" max="12037" width="13.6640625" bestFit="1" customWidth="1"/>
    <col min="12038" max="12038" width="1.44140625" customWidth="1"/>
    <col min="12039" max="12039" width="9.5546875" bestFit="1" customWidth="1"/>
    <col min="12040" max="12040" width="25.33203125" bestFit="1" customWidth="1"/>
    <col min="12289" max="12289" width="18.6640625" bestFit="1" customWidth="1"/>
    <col min="12290" max="12290" width="12.109375" bestFit="1" customWidth="1"/>
    <col min="12292" max="12292" width="18.6640625" bestFit="1" customWidth="1"/>
    <col min="12293" max="12293" width="13.6640625" bestFit="1" customWidth="1"/>
    <col min="12294" max="12294" width="1.44140625" customWidth="1"/>
    <col min="12295" max="12295" width="9.5546875" bestFit="1" customWidth="1"/>
    <col min="12296" max="12296" width="25.33203125" bestFit="1" customWidth="1"/>
    <col min="12545" max="12545" width="18.6640625" bestFit="1" customWidth="1"/>
    <col min="12546" max="12546" width="12.109375" bestFit="1" customWidth="1"/>
    <col min="12548" max="12548" width="18.6640625" bestFit="1" customWidth="1"/>
    <col min="12549" max="12549" width="13.6640625" bestFit="1" customWidth="1"/>
    <col min="12550" max="12550" width="1.44140625" customWidth="1"/>
    <col min="12551" max="12551" width="9.5546875" bestFit="1" customWidth="1"/>
    <col min="12552" max="12552" width="25.33203125" bestFit="1" customWidth="1"/>
    <col min="12801" max="12801" width="18.6640625" bestFit="1" customWidth="1"/>
    <col min="12802" max="12802" width="12.109375" bestFit="1" customWidth="1"/>
    <col min="12804" max="12804" width="18.6640625" bestFit="1" customWidth="1"/>
    <col min="12805" max="12805" width="13.6640625" bestFit="1" customWidth="1"/>
    <col min="12806" max="12806" width="1.44140625" customWidth="1"/>
    <col min="12807" max="12807" width="9.5546875" bestFit="1" customWidth="1"/>
    <col min="12808" max="12808" width="25.33203125" bestFit="1" customWidth="1"/>
    <col min="13057" max="13057" width="18.6640625" bestFit="1" customWidth="1"/>
    <col min="13058" max="13058" width="12.109375" bestFit="1" customWidth="1"/>
    <col min="13060" max="13060" width="18.6640625" bestFit="1" customWidth="1"/>
    <col min="13061" max="13061" width="13.6640625" bestFit="1" customWidth="1"/>
    <col min="13062" max="13062" width="1.44140625" customWidth="1"/>
    <col min="13063" max="13063" width="9.5546875" bestFit="1" customWidth="1"/>
    <col min="13064" max="13064" width="25.33203125" bestFit="1" customWidth="1"/>
    <col min="13313" max="13313" width="18.6640625" bestFit="1" customWidth="1"/>
    <col min="13314" max="13314" width="12.109375" bestFit="1" customWidth="1"/>
    <col min="13316" max="13316" width="18.6640625" bestFit="1" customWidth="1"/>
    <col min="13317" max="13317" width="13.6640625" bestFit="1" customWidth="1"/>
    <col min="13318" max="13318" width="1.44140625" customWidth="1"/>
    <col min="13319" max="13319" width="9.5546875" bestFit="1" customWidth="1"/>
    <col min="13320" max="13320" width="25.33203125" bestFit="1" customWidth="1"/>
    <col min="13569" max="13569" width="18.6640625" bestFit="1" customWidth="1"/>
    <col min="13570" max="13570" width="12.109375" bestFit="1" customWidth="1"/>
    <col min="13572" max="13572" width="18.6640625" bestFit="1" customWidth="1"/>
    <col min="13573" max="13573" width="13.6640625" bestFit="1" customWidth="1"/>
    <col min="13574" max="13574" width="1.44140625" customWidth="1"/>
    <col min="13575" max="13575" width="9.5546875" bestFit="1" customWidth="1"/>
    <col min="13576" max="13576" width="25.33203125" bestFit="1" customWidth="1"/>
    <col min="13825" max="13825" width="18.6640625" bestFit="1" customWidth="1"/>
    <col min="13826" max="13826" width="12.109375" bestFit="1" customWidth="1"/>
    <col min="13828" max="13828" width="18.6640625" bestFit="1" customWidth="1"/>
    <col min="13829" max="13829" width="13.6640625" bestFit="1" customWidth="1"/>
    <col min="13830" max="13830" width="1.44140625" customWidth="1"/>
    <col min="13831" max="13831" width="9.5546875" bestFit="1" customWidth="1"/>
    <col min="13832" max="13832" width="25.33203125" bestFit="1" customWidth="1"/>
    <col min="14081" max="14081" width="18.6640625" bestFit="1" customWidth="1"/>
    <col min="14082" max="14082" width="12.109375" bestFit="1" customWidth="1"/>
    <col min="14084" max="14084" width="18.6640625" bestFit="1" customWidth="1"/>
    <col min="14085" max="14085" width="13.6640625" bestFit="1" customWidth="1"/>
    <col min="14086" max="14086" width="1.44140625" customWidth="1"/>
    <col min="14087" max="14087" width="9.5546875" bestFit="1" customWidth="1"/>
    <col min="14088" max="14088" width="25.33203125" bestFit="1" customWidth="1"/>
    <col min="14337" max="14337" width="18.6640625" bestFit="1" customWidth="1"/>
    <col min="14338" max="14338" width="12.109375" bestFit="1" customWidth="1"/>
    <col min="14340" max="14340" width="18.6640625" bestFit="1" customWidth="1"/>
    <col min="14341" max="14341" width="13.6640625" bestFit="1" customWidth="1"/>
    <col min="14342" max="14342" width="1.44140625" customWidth="1"/>
    <col min="14343" max="14343" width="9.5546875" bestFit="1" customWidth="1"/>
    <col min="14344" max="14344" width="25.33203125" bestFit="1" customWidth="1"/>
    <col min="14593" max="14593" width="18.6640625" bestFit="1" customWidth="1"/>
    <col min="14594" max="14594" width="12.109375" bestFit="1" customWidth="1"/>
    <col min="14596" max="14596" width="18.6640625" bestFit="1" customWidth="1"/>
    <col min="14597" max="14597" width="13.6640625" bestFit="1" customWidth="1"/>
    <col min="14598" max="14598" width="1.44140625" customWidth="1"/>
    <col min="14599" max="14599" width="9.5546875" bestFit="1" customWidth="1"/>
    <col min="14600" max="14600" width="25.33203125" bestFit="1" customWidth="1"/>
    <col min="14849" max="14849" width="18.6640625" bestFit="1" customWidth="1"/>
    <col min="14850" max="14850" width="12.109375" bestFit="1" customWidth="1"/>
    <col min="14852" max="14852" width="18.6640625" bestFit="1" customWidth="1"/>
    <col min="14853" max="14853" width="13.6640625" bestFit="1" customWidth="1"/>
    <col min="14854" max="14854" width="1.44140625" customWidth="1"/>
    <col min="14855" max="14855" width="9.5546875" bestFit="1" customWidth="1"/>
    <col min="14856" max="14856" width="25.33203125" bestFit="1" customWidth="1"/>
    <col min="15105" max="15105" width="18.6640625" bestFit="1" customWidth="1"/>
    <col min="15106" max="15106" width="12.109375" bestFit="1" customWidth="1"/>
    <col min="15108" max="15108" width="18.6640625" bestFit="1" customWidth="1"/>
    <col min="15109" max="15109" width="13.6640625" bestFit="1" customWidth="1"/>
    <col min="15110" max="15110" width="1.44140625" customWidth="1"/>
    <col min="15111" max="15111" width="9.5546875" bestFit="1" customWidth="1"/>
    <col min="15112" max="15112" width="25.33203125" bestFit="1" customWidth="1"/>
    <col min="15361" max="15361" width="18.6640625" bestFit="1" customWidth="1"/>
    <col min="15362" max="15362" width="12.109375" bestFit="1" customWidth="1"/>
    <col min="15364" max="15364" width="18.6640625" bestFit="1" customWidth="1"/>
    <col min="15365" max="15365" width="13.6640625" bestFit="1" customWidth="1"/>
    <col min="15366" max="15366" width="1.44140625" customWidth="1"/>
    <col min="15367" max="15367" width="9.5546875" bestFit="1" customWidth="1"/>
    <col min="15368" max="15368" width="25.33203125" bestFit="1" customWidth="1"/>
    <col min="15617" max="15617" width="18.6640625" bestFit="1" customWidth="1"/>
    <col min="15618" max="15618" width="12.109375" bestFit="1" customWidth="1"/>
    <col min="15620" max="15620" width="18.6640625" bestFit="1" customWidth="1"/>
    <col min="15621" max="15621" width="13.6640625" bestFit="1" customWidth="1"/>
    <col min="15622" max="15622" width="1.44140625" customWidth="1"/>
    <col min="15623" max="15623" width="9.5546875" bestFit="1" customWidth="1"/>
    <col min="15624" max="15624" width="25.33203125" bestFit="1" customWidth="1"/>
    <col min="15873" max="15873" width="18.6640625" bestFit="1" customWidth="1"/>
    <col min="15874" max="15874" width="12.109375" bestFit="1" customWidth="1"/>
    <col min="15876" max="15876" width="18.6640625" bestFit="1" customWidth="1"/>
    <col min="15877" max="15877" width="13.6640625" bestFit="1" customWidth="1"/>
    <col min="15878" max="15878" width="1.44140625" customWidth="1"/>
    <col min="15879" max="15879" width="9.5546875" bestFit="1" customWidth="1"/>
    <col min="15880" max="15880" width="25.33203125" bestFit="1" customWidth="1"/>
    <col min="16129" max="16129" width="18.6640625" bestFit="1" customWidth="1"/>
    <col min="16130" max="16130" width="12.109375" bestFit="1" customWidth="1"/>
    <col min="16132" max="16132" width="18.6640625" bestFit="1" customWidth="1"/>
    <col min="16133" max="16133" width="13.6640625" bestFit="1" customWidth="1"/>
    <col min="16134" max="16134" width="1.44140625" customWidth="1"/>
    <col min="16135" max="16135" width="9.5546875" bestFit="1" customWidth="1"/>
    <col min="16136" max="16136" width="25.33203125" bestFit="1" customWidth="1"/>
  </cols>
  <sheetData>
    <row r="1" spans="1:8" x14ac:dyDescent="0.3">
      <c r="A1" s="40" t="s">
        <v>193</v>
      </c>
      <c r="B1" s="40"/>
      <c r="D1" s="40" t="s">
        <v>194</v>
      </c>
      <c r="E1" s="40"/>
    </row>
    <row r="2" spans="1:8" x14ac:dyDescent="0.3">
      <c r="A2" s="1" t="s">
        <v>195</v>
      </c>
      <c r="B2" s="1"/>
      <c r="D2" s="1" t="str">
        <f t="shared" ref="D2:D10" si="0">A2</f>
        <v>Current Cash Paid =</v>
      </c>
      <c r="E2" s="1">
        <v>30000</v>
      </c>
    </row>
    <row r="3" spans="1:8" x14ac:dyDescent="0.3">
      <c r="A3" s="1" t="s">
        <v>97</v>
      </c>
      <c r="B3" s="1">
        <v>6800</v>
      </c>
      <c r="D3" s="1" t="str">
        <f t="shared" si="0"/>
        <v>PMT =</v>
      </c>
      <c r="E3" s="1">
        <v>5500</v>
      </c>
    </row>
    <row r="4" spans="1:8" x14ac:dyDescent="0.3">
      <c r="A4" s="1" t="s">
        <v>77</v>
      </c>
      <c r="B4" s="1">
        <v>2</v>
      </c>
      <c r="D4" s="1" t="str">
        <f t="shared" si="0"/>
        <v>x =</v>
      </c>
      <c r="E4" s="1">
        <f>B4</f>
        <v>2</v>
      </c>
    </row>
    <row r="5" spans="1:8" x14ac:dyDescent="0.3">
      <c r="A5" s="1" t="s">
        <v>114</v>
      </c>
      <c r="B5" s="1">
        <v>12</v>
      </c>
      <c r="D5" s="1" t="str">
        <f t="shared" si="0"/>
        <v xml:space="preserve">n = </v>
      </c>
      <c r="E5" s="1">
        <f>B5</f>
        <v>12</v>
      </c>
    </row>
    <row r="6" spans="1:8" x14ac:dyDescent="0.3">
      <c r="A6" s="1" t="s">
        <v>57</v>
      </c>
      <c r="B6" s="1">
        <v>7.0000000000000007E-2</v>
      </c>
      <c r="D6" s="1" t="str">
        <f t="shared" si="0"/>
        <v>APR = i =</v>
      </c>
      <c r="E6" s="1">
        <f>B6</f>
        <v>7.0000000000000007E-2</v>
      </c>
    </row>
    <row r="7" spans="1:8" x14ac:dyDescent="0.3">
      <c r="A7" s="1" t="s">
        <v>96</v>
      </c>
      <c r="B7" s="2">
        <f>B6/B5</f>
        <v>5.8333333333333336E-3</v>
      </c>
      <c r="D7" s="1" t="str">
        <f t="shared" si="0"/>
        <v>i/n =</v>
      </c>
      <c r="E7" s="2">
        <f>E6/E5</f>
        <v>5.8333333333333336E-3</v>
      </c>
    </row>
    <row r="8" spans="1:8" x14ac:dyDescent="0.3">
      <c r="A8" s="1" t="s">
        <v>196</v>
      </c>
      <c r="B8" s="2">
        <f>B5*B4</f>
        <v>24</v>
      </c>
      <c r="D8" s="1" t="str">
        <f t="shared" si="0"/>
        <v>n*x =</v>
      </c>
      <c r="E8" s="2">
        <f>E5*E4</f>
        <v>24</v>
      </c>
      <c r="G8" s="82" t="s">
        <v>197</v>
      </c>
      <c r="H8" s="82" t="s">
        <v>198</v>
      </c>
    </row>
    <row r="9" spans="1:8" x14ac:dyDescent="0.3">
      <c r="A9" s="1" t="s">
        <v>102</v>
      </c>
      <c r="B9" s="30">
        <f>-PV(B7,B8,B3)</f>
        <v>151878.67521177261</v>
      </c>
      <c r="D9" s="1" t="str">
        <f t="shared" si="0"/>
        <v>PV =</v>
      </c>
      <c r="E9" s="30">
        <f>-(PV(E7,E8,E3)-E2)</f>
        <v>152843.04612716901</v>
      </c>
      <c r="G9" s="30">
        <f>E9-B9</f>
        <v>964.37091539640096</v>
      </c>
      <c r="H9" s="42" t="str">
        <f>IF(E9&gt;B9,"Choose "&amp;$D$1,"Choose "&amp;$A$1)</f>
        <v>Choose Salary Arrangement 2</v>
      </c>
    </row>
    <row r="10" spans="1:8" x14ac:dyDescent="0.3">
      <c r="A10" s="1" t="s">
        <v>95</v>
      </c>
      <c r="B10" s="30">
        <f>-FV(B7,B8,B3)</f>
        <v>174631.01468883021</v>
      </c>
      <c r="D10" s="1" t="str">
        <f t="shared" si="0"/>
        <v>FV =</v>
      </c>
      <c r="E10" s="30">
        <f>-FV(E7,E8,E3,E2)</f>
        <v>175739.85417045755</v>
      </c>
      <c r="G10" s="30">
        <f>E10-B10</f>
        <v>1108.8394816273358</v>
      </c>
      <c r="H10" s="42" t="str">
        <f>IF(E10&gt;B10,"Choose "&amp;$D$1,"Choose "&amp;$A$1)</f>
        <v>Choose Salary Arrangement 2</v>
      </c>
    </row>
    <row r="12" spans="1:8" ht="43.2" x14ac:dyDescent="0.3">
      <c r="A12" s="118" t="s">
        <v>199</v>
      </c>
      <c r="B12" s="118"/>
      <c r="C12" s="118"/>
      <c r="D12" s="118"/>
      <c r="E12" s="118"/>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18"/>
  <sheetViews>
    <sheetView zoomScale="85" zoomScaleNormal="85" workbookViewId="0">
      <selection activeCell="J6" sqref="J6"/>
    </sheetView>
  </sheetViews>
  <sheetFormatPr defaultRowHeight="14.4" x14ac:dyDescent="0.3"/>
  <cols>
    <col min="1" max="1" width="15.5546875" bestFit="1" customWidth="1"/>
    <col min="2" max="2" width="15.6640625" customWidth="1"/>
    <col min="3" max="3" width="11" bestFit="1" customWidth="1"/>
    <col min="4" max="4" width="8.88671875" bestFit="1" customWidth="1"/>
    <col min="5" max="5" width="5.5546875" customWidth="1"/>
    <col min="6" max="6" width="23.6640625" customWidth="1"/>
    <col min="7" max="7" width="1.33203125" customWidth="1"/>
    <col min="8" max="8" width="10.5546875" bestFit="1" customWidth="1"/>
    <col min="9" max="9" width="2.6640625" customWidth="1"/>
  </cols>
  <sheetData>
    <row r="1" spans="1:15" x14ac:dyDescent="0.3">
      <c r="A1" s="25" t="s">
        <v>37</v>
      </c>
      <c r="B1" s="25"/>
      <c r="C1" s="25"/>
      <c r="D1" s="25"/>
      <c r="E1" s="26"/>
      <c r="F1" s="26"/>
      <c r="G1" s="26"/>
    </row>
    <row r="2" spans="1:15" ht="43.2" x14ac:dyDescent="0.3">
      <c r="A2" s="27" t="s">
        <v>38</v>
      </c>
      <c r="B2" s="28">
        <v>0.08</v>
      </c>
      <c r="C2" s="5"/>
    </row>
    <row r="3" spans="1:15" x14ac:dyDescent="0.3">
      <c r="A3" s="1" t="s">
        <v>39</v>
      </c>
      <c r="B3" s="1">
        <v>1</v>
      </c>
    </row>
    <row r="4" spans="1:15" x14ac:dyDescent="0.3">
      <c r="A4" s="5"/>
      <c r="B4" s="5"/>
    </row>
    <row r="5" spans="1:15" x14ac:dyDescent="0.3">
      <c r="A5" s="34" t="s">
        <v>40</v>
      </c>
      <c r="B5" s="34"/>
      <c r="C5" s="34"/>
      <c r="D5" s="34"/>
      <c r="F5" s="34" t="s">
        <v>41</v>
      </c>
      <c r="G5" s="34"/>
      <c r="H5" s="34"/>
    </row>
    <row r="6" spans="1:15" ht="86.4" x14ac:dyDescent="0.3">
      <c r="A6" s="8" t="s">
        <v>25</v>
      </c>
      <c r="B6" s="8" t="s">
        <v>42</v>
      </c>
      <c r="C6" s="8" t="s">
        <v>43</v>
      </c>
      <c r="D6" s="27" t="s">
        <v>0</v>
      </c>
      <c r="F6" s="27" t="s">
        <v>44</v>
      </c>
      <c r="H6" s="8" t="s">
        <v>45</v>
      </c>
      <c r="J6" s="23" t="s">
        <v>47</v>
      </c>
      <c r="K6" s="24"/>
      <c r="L6" s="24"/>
      <c r="M6" s="24"/>
      <c r="N6" s="24"/>
      <c r="O6" s="24"/>
    </row>
    <row r="7" spans="1:15" x14ac:dyDescent="0.3">
      <c r="A7" s="1">
        <v>0</v>
      </c>
      <c r="B7" s="21">
        <v>-2000</v>
      </c>
      <c r="C7" s="29">
        <v>0</v>
      </c>
      <c r="D7" s="38">
        <f t="shared" ref="D7:D15" si="0">PV($B$2,C7,,B7)</f>
        <v>2000</v>
      </c>
      <c r="F7" s="19">
        <f t="shared" ref="F7:F15" si="1">-B7</f>
        <v>2000</v>
      </c>
      <c r="H7" s="38">
        <f>NPV(B2,F8:F16)+F7</f>
        <v>629.52996454378012</v>
      </c>
    </row>
    <row r="8" spans="1:15" x14ac:dyDescent="0.3">
      <c r="A8" s="1">
        <v>1</v>
      </c>
      <c r="B8" s="21"/>
      <c r="C8" s="1">
        <v>1</v>
      </c>
      <c r="D8" s="38">
        <f t="shared" si="0"/>
        <v>0</v>
      </c>
      <c r="F8" s="19">
        <f t="shared" si="1"/>
        <v>0</v>
      </c>
    </row>
    <row r="9" spans="1:15" x14ac:dyDescent="0.3">
      <c r="A9" s="1">
        <v>2</v>
      </c>
      <c r="B9" s="21">
        <v>-2000</v>
      </c>
      <c r="C9" s="29">
        <v>2</v>
      </c>
      <c r="D9" s="38">
        <f t="shared" si="0"/>
        <v>1714.6776406035665</v>
      </c>
      <c r="F9" s="19">
        <f t="shared" si="1"/>
        <v>2000</v>
      </c>
      <c r="G9" s="15"/>
    </row>
    <row r="10" spans="1:15" x14ac:dyDescent="0.3">
      <c r="A10" s="1">
        <v>3</v>
      </c>
      <c r="B10" s="21">
        <v>1000</v>
      </c>
      <c r="C10" s="1">
        <v>3</v>
      </c>
      <c r="D10" s="38">
        <f t="shared" si="0"/>
        <v>-793.83224102016959</v>
      </c>
      <c r="F10" s="19">
        <f t="shared" si="1"/>
        <v>-1000</v>
      </c>
      <c r="G10" s="15"/>
    </row>
    <row r="11" spans="1:15" x14ac:dyDescent="0.3">
      <c r="A11" s="1">
        <v>4</v>
      </c>
      <c r="B11" s="21">
        <v>1000</v>
      </c>
      <c r="C11" s="29">
        <v>4</v>
      </c>
      <c r="D11" s="38">
        <f t="shared" si="0"/>
        <v>-735.02985279645327</v>
      </c>
      <c r="F11" s="19">
        <f t="shared" si="1"/>
        <v>-1000</v>
      </c>
      <c r="G11" s="15"/>
    </row>
    <row r="12" spans="1:15" x14ac:dyDescent="0.3">
      <c r="A12" s="1">
        <v>5</v>
      </c>
      <c r="B12" s="21">
        <v>-2000</v>
      </c>
      <c r="C12" s="1">
        <v>5</v>
      </c>
      <c r="D12" s="38">
        <f t="shared" si="0"/>
        <v>1361.166394067506</v>
      </c>
      <c r="F12" s="19">
        <f t="shared" si="1"/>
        <v>2000</v>
      </c>
      <c r="G12" s="15"/>
    </row>
    <row r="13" spans="1:15" x14ac:dyDescent="0.3">
      <c r="A13" s="1">
        <v>6</v>
      </c>
      <c r="B13" s="21"/>
      <c r="C13" s="29">
        <v>6</v>
      </c>
      <c r="D13" s="38">
        <f t="shared" si="0"/>
        <v>0</v>
      </c>
      <c r="F13" s="19">
        <f t="shared" si="1"/>
        <v>0</v>
      </c>
      <c r="G13" s="15"/>
    </row>
    <row r="14" spans="1:15" x14ac:dyDescent="0.3">
      <c r="A14" s="1">
        <v>7</v>
      </c>
      <c r="B14" s="21">
        <v>5000</v>
      </c>
      <c r="C14" s="1">
        <v>7</v>
      </c>
      <c r="D14" s="38">
        <f t="shared" si="0"/>
        <v>-2917.4519763106691</v>
      </c>
      <c r="F14" s="19">
        <f t="shared" si="1"/>
        <v>-5000</v>
      </c>
      <c r="G14" s="15"/>
    </row>
    <row r="15" spans="1:15" ht="15" thickBot="1" x14ac:dyDescent="0.35">
      <c r="A15" s="28">
        <v>8</v>
      </c>
      <c r="B15" s="36"/>
      <c r="C15" s="31">
        <v>8</v>
      </c>
      <c r="D15" s="38">
        <f t="shared" si="0"/>
        <v>0</v>
      </c>
      <c r="F15" s="19">
        <f t="shared" si="1"/>
        <v>0</v>
      </c>
      <c r="G15" s="15"/>
    </row>
    <row r="16" spans="1:15" ht="15" thickBot="1" x14ac:dyDescent="0.35">
      <c r="A16" s="32" t="s">
        <v>46</v>
      </c>
      <c r="B16" s="37"/>
      <c r="C16" s="32" t="s">
        <v>0</v>
      </c>
      <c r="D16" s="39">
        <f>SUM(D7:D15)</f>
        <v>629.52996454378081</v>
      </c>
      <c r="G16" s="35"/>
    </row>
    <row r="17" spans="3:3" ht="15" thickTop="1" x14ac:dyDescent="0.3"/>
    <row r="18" spans="3:3" x14ac:dyDescent="0.3">
      <c r="C18">
        <v>-1</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H7"/>
  <sheetViews>
    <sheetView zoomScale="160" workbookViewId="0">
      <selection activeCell="B15" sqref="B15"/>
    </sheetView>
  </sheetViews>
  <sheetFormatPr defaultRowHeight="14.4" x14ac:dyDescent="0.3"/>
  <cols>
    <col min="1" max="1" width="13.33203125" bestFit="1" customWidth="1"/>
    <col min="3" max="3" width="17.33203125" customWidth="1"/>
    <col min="4" max="4" width="13.88671875" bestFit="1" customWidth="1"/>
    <col min="5" max="6" width="15.6640625" customWidth="1"/>
    <col min="7" max="7" width="13.88671875" bestFit="1" customWidth="1"/>
    <col min="8" max="8" width="16.109375" bestFit="1" customWidth="1"/>
    <col min="257" max="257" width="13.33203125" bestFit="1" customWidth="1"/>
    <col min="259" max="259" width="17.33203125" customWidth="1"/>
    <col min="260" max="260" width="13.88671875" bestFit="1" customWidth="1"/>
    <col min="261" max="262" width="15.6640625" customWidth="1"/>
    <col min="263" max="263" width="13.88671875" bestFit="1" customWidth="1"/>
    <col min="264" max="264" width="16.109375" bestFit="1" customWidth="1"/>
    <col min="513" max="513" width="13.33203125" bestFit="1" customWidth="1"/>
    <col min="515" max="515" width="17.33203125" customWidth="1"/>
    <col min="516" max="516" width="13.88671875" bestFit="1" customWidth="1"/>
    <col min="517" max="518" width="15.6640625" customWidth="1"/>
    <col min="519" max="519" width="13.88671875" bestFit="1" customWidth="1"/>
    <col min="520" max="520" width="16.109375" bestFit="1" customWidth="1"/>
    <col min="769" max="769" width="13.33203125" bestFit="1" customWidth="1"/>
    <col min="771" max="771" width="17.33203125" customWidth="1"/>
    <col min="772" max="772" width="13.88671875" bestFit="1" customWidth="1"/>
    <col min="773" max="774" width="15.6640625" customWidth="1"/>
    <col min="775" max="775" width="13.88671875" bestFit="1" customWidth="1"/>
    <col min="776" max="776" width="16.109375" bestFit="1" customWidth="1"/>
    <col min="1025" max="1025" width="13.33203125" bestFit="1" customWidth="1"/>
    <col min="1027" max="1027" width="17.33203125" customWidth="1"/>
    <col min="1028" max="1028" width="13.88671875" bestFit="1" customWidth="1"/>
    <col min="1029" max="1030" width="15.6640625" customWidth="1"/>
    <col min="1031" max="1031" width="13.88671875" bestFit="1" customWidth="1"/>
    <col min="1032" max="1032" width="16.109375" bestFit="1" customWidth="1"/>
    <col min="1281" max="1281" width="13.33203125" bestFit="1" customWidth="1"/>
    <col min="1283" max="1283" width="17.33203125" customWidth="1"/>
    <col min="1284" max="1284" width="13.88671875" bestFit="1" customWidth="1"/>
    <col min="1285" max="1286" width="15.6640625" customWidth="1"/>
    <col min="1287" max="1287" width="13.88671875" bestFit="1" customWidth="1"/>
    <col min="1288" max="1288" width="16.109375" bestFit="1" customWidth="1"/>
    <col min="1537" max="1537" width="13.33203125" bestFit="1" customWidth="1"/>
    <col min="1539" max="1539" width="17.33203125" customWidth="1"/>
    <col min="1540" max="1540" width="13.88671875" bestFit="1" customWidth="1"/>
    <col min="1541" max="1542" width="15.6640625" customWidth="1"/>
    <col min="1543" max="1543" width="13.88671875" bestFit="1" customWidth="1"/>
    <col min="1544" max="1544" width="16.109375" bestFit="1" customWidth="1"/>
    <col min="1793" max="1793" width="13.33203125" bestFit="1" customWidth="1"/>
    <col min="1795" max="1795" width="17.33203125" customWidth="1"/>
    <col min="1796" max="1796" width="13.88671875" bestFit="1" customWidth="1"/>
    <col min="1797" max="1798" width="15.6640625" customWidth="1"/>
    <col min="1799" max="1799" width="13.88671875" bestFit="1" customWidth="1"/>
    <col min="1800" max="1800" width="16.109375" bestFit="1" customWidth="1"/>
    <col min="2049" max="2049" width="13.33203125" bestFit="1" customWidth="1"/>
    <col min="2051" max="2051" width="17.33203125" customWidth="1"/>
    <col min="2052" max="2052" width="13.88671875" bestFit="1" customWidth="1"/>
    <col min="2053" max="2054" width="15.6640625" customWidth="1"/>
    <col min="2055" max="2055" width="13.88671875" bestFit="1" customWidth="1"/>
    <col min="2056" max="2056" width="16.109375" bestFit="1" customWidth="1"/>
    <col min="2305" max="2305" width="13.33203125" bestFit="1" customWidth="1"/>
    <col min="2307" max="2307" width="17.33203125" customWidth="1"/>
    <col min="2308" max="2308" width="13.88671875" bestFit="1" customWidth="1"/>
    <col min="2309" max="2310" width="15.6640625" customWidth="1"/>
    <col min="2311" max="2311" width="13.88671875" bestFit="1" customWidth="1"/>
    <col min="2312" max="2312" width="16.109375" bestFit="1" customWidth="1"/>
    <col min="2561" max="2561" width="13.33203125" bestFit="1" customWidth="1"/>
    <col min="2563" max="2563" width="17.33203125" customWidth="1"/>
    <col min="2564" max="2564" width="13.88671875" bestFit="1" customWidth="1"/>
    <col min="2565" max="2566" width="15.6640625" customWidth="1"/>
    <col min="2567" max="2567" width="13.88671875" bestFit="1" customWidth="1"/>
    <col min="2568" max="2568" width="16.109375" bestFit="1" customWidth="1"/>
    <col min="2817" max="2817" width="13.33203125" bestFit="1" customWidth="1"/>
    <col min="2819" max="2819" width="17.33203125" customWidth="1"/>
    <col min="2820" max="2820" width="13.88671875" bestFit="1" customWidth="1"/>
    <col min="2821" max="2822" width="15.6640625" customWidth="1"/>
    <col min="2823" max="2823" width="13.88671875" bestFit="1" customWidth="1"/>
    <col min="2824" max="2824" width="16.109375" bestFit="1" customWidth="1"/>
    <col min="3073" max="3073" width="13.33203125" bestFit="1" customWidth="1"/>
    <col min="3075" max="3075" width="17.33203125" customWidth="1"/>
    <col min="3076" max="3076" width="13.88671875" bestFit="1" customWidth="1"/>
    <col min="3077" max="3078" width="15.6640625" customWidth="1"/>
    <col min="3079" max="3079" width="13.88671875" bestFit="1" customWidth="1"/>
    <col min="3080" max="3080" width="16.109375" bestFit="1" customWidth="1"/>
    <col min="3329" max="3329" width="13.33203125" bestFit="1" customWidth="1"/>
    <col min="3331" max="3331" width="17.33203125" customWidth="1"/>
    <col min="3332" max="3332" width="13.88671875" bestFit="1" customWidth="1"/>
    <col min="3333" max="3334" width="15.6640625" customWidth="1"/>
    <col min="3335" max="3335" width="13.88671875" bestFit="1" customWidth="1"/>
    <col min="3336" max="3336" width="16.109375" bestFit="1" customWidth="1"/>
    <col min="3585" max="3585" width="13.33203125" bestFit="1" customWidth="1"/>
    <col min="3587" max="3587" width="17.33203125" customWidth="1"/>
    <col min="3588" max="3588" width="13.88671875" bestFit="1" customWidth="1"/>
    <col min="3589" max="3590" width="15.6640625" customWidth="1"/>
    <col min="3591" max="3591" width="13.88671875" bestFit="1" customWidth="1"/>
    <col min="3592" max="3592" width="16.109375" bestFit="1" customWidth="1"/>
    <col min="3841" max="3841" width="13.33203125" bestFit="1" customWidth="1"/>
    <col min="3843" max="3843" width="17.33203125" customWidth="1"/>
    <col min="3844" max="3844" width="13.88671875" bestFit="1" customWidth="1"/>
    <col min="3845" max="3846" width="15.6640625" customWidth="1"/>
    <col min="3847" max="3847" width="13.88671875" bestFit="1" customWidth="1"/>
    <col min="3848" max="3848" width="16.109375" bestFit="1" customWidth="1"/>
    <col min="4097" max="4097" width="13.33203125" bestFit="1" customWidth="1"/>
    <col min="4099" max="4099" width="17.33203125" customWidth="1"/>
    <col min="4100" max="4100" width="13.88671875" bestFit="1" customWidth="1"/>
    <col min="4101" max="4102" width="15.6640625" customWidth="1"/>
    <col min="4103" max="4103" width="13.88671875" bestFit="1" customWidth="1"/>
    <col min="4104" max="4104" width="16.109375" bestFit="1" customWidth="1"/>
    <col min="4353" max="4353" width="13.33203125" bestFit="1" customWidth="1"/>
    <col min="4355" max="4355" width="17.33203125" customWidth="1"/>
    <col min="4356" max="4356" width="13.88671875" bestFit="1" customWidth="1"/>
    <col min="4357" max="4358" width="15.6640625" customWidth="1"/>
    <col min="4359" max="4359" width="13.88671875" bestFit="1" customWidth="1"/>
    <col min="4360" max="4360" width="16.109375" bestFit="1" customWidth="1"/>
    <col min="4609" max="4609" width="13.33203125" bestFit="1" customWidth="1"/>
    <col min="4611" max="4611" width="17.33203125" customWidth="1"/>
    <col min="4612" max="4612" width="13.88671875" bestFit="1" customWidth="1"/>
    <col min="4613" max="4614" width="15.6640625" customWidth="1"/>
    <col min="4615" max="4615" width="13.88671875" bestFit="1" customWidth="1"/>
    <col min="4616" max="4616" width="16.109375" bestFit="1" customWidth="1"/>
    <col min="4865" max="4865" width="13.33203125" bestFit="1" customWidth="1"/>
    <col min="4867" max="4867" width="17.33203125" customWidth="1"/>
    <col min="4868" max="4868" width="13.88671875" bestFit="1" customWidth="1"/>
    <col min="4869" max="4870" width="15.6640625" customWidth="1"/>
    <col min="4871" max="4871" width="13.88671875" bestFit="1" customWidth="1"/>
    <col min="4872" max="4872" width="16.109375" bestFit="1" customWidth="1"/>
    <col min="5121" max="5121" width="13.33203125" bestFit="1" customWidth="1"/>
    <col min="5123" max="5123" width="17.33203125" customWidth="1"/>
    <col min="5124" max="5124" width="13.88671875" bestFit="1" customWidth="1"/>
    <col min="5125" max="5126" width="15.6640625" customWidth="1"/>
    <col min="5127" max="5127" width="13.88671875" bestFit="1" customWidth="1"/>
    <col min="5128" max="5128" width="16.109375" bestFit="1" customWidth="1"/>
    <col min="5377" max="5377" width="13.33203125" bestFit="1" customWidth="1"/>
    <col min="5379" max="5379" width="17.33203125" customWidth="1"/>
    <col min="5380" max="5380" width="13.88671875" bestFit="1" customWidth="1"/>
    <col min="5381" max="5382" width="15.6640625" customWidth="1"/>
    <col min="5383" max="5383" width="13.88671875" bestFit="1" customWidth="1"/>
    <col min="5384" max="5384" width="16.109375" bestFit="1" customWidth="1"/>
    <col min="5633" max="5633" width="13.33203125" bestFit="1" customWidth="1"/>
    <col min="5635" max="5635" width="17.33203125" customWidth="1"/>
    <col min="5636" max="5636" width="13.88671875" bestFit="1" customWidth="1"/>
    <col min="5637" max="5638" width="15.6640625" customWidth="1"/>
    <col min="5639" max="5639" width="13.88671875" bestFit="1" customWidth="1"/>
    <col min="5640" max="5640" width="16.109375" bestFit="1" customWidth="1"/>
    <col min="5889" max="5889" width="13.33203125" bestFit="1" customWidth="1"/>
    <col min="5891" max="5891" width="17.33203125" customWidth="1"/>
    <col min="5892" max="5892" width="13.88671875" bestFit="1" customWidth="1"/>
    <col min="5893" max="5894" width="15.6640625" customWidth="1"/>
    <col min="5895" max="5895" width="13.88671875" bestFit="1" customWidth="1"/>
    <col min="5896" max="5896" width="16.109375" bestFit="1" customWidth="1"/>
    <col min="6145" max="6145" width="13.33203125" bestFit="1" customWidth="1"/>
    <col min="6147" max="6147" width="17.33203125" customWidth="1"/>
    <col min="6148" max="6148" width="13.88671875" bestFit="1" customWidth="1"/>
    <col min="6149" max="6150" width="15.6640625" customWidth="1"/>
    <col min="6151" max="6151" width="13.88671875" bestFit="1" customWidth="1"/>
    <col min="6152" max="6152" width="16.109375" bestFit="1" customWidth="1"/>
    <col min="6401" max="6401" width="13.33203125" bestFit="1" customWidth="1"/>
    <col min="6403" max="6403" width="17.33203125" customWidth="1"/>
    <col min="6404" max="6404" width="13.88671875" bestFit="1" customWidth="1"/>
    <col min="6405" max="6406" width="15.6640625" customWidth="1"/>
    <col min="6407" max="6407" width="13.88671875" bestFit="1" customWidth="1"/>
    <col min="6408" max="6408" width="16.109375" bestFit="1" customWidth="1"/>
    <col min="6657" max="6657" width="13.33203125" bestFit="1" customWidth="1"/>
    <col min="6659" max="6659" width="17.33203125" customWidth="1"/>
    <col min="6660" max="6660" width="13.88671875" bestFit="1" customWidth="1"/>
    <col min="6661" max="6662" width="15.6640625" customWidth="1"/>
    <col min="6663" max="6663" width="13.88671875" bestFit="1" customWidth="1"/>
    <col min="6664" max="6664" width="16.109375" bestFit="1" customWidth="1"/>
    <col min="6913" max="6913" width="13.33203125" bestFit="1" customWidth="1"/>
    <col min="6915" max="6915" width="17.33203125" customWidth="1"/>
    <col min="6916" max="6916" width="13.88671875" bestFit="1" customWidth="1"/>
    <col min="6917" max="6918" width="15.6640625" customWidth="1"/>
    <col min="6919" max="6919" width="13.88671875" bestFit="1" customWidth="1"/>
    <col min="6920" max="6920" width="16.109375" bestFit="1" customWidth="1"/>
    <col min="7169" max="7169" width="13.33203125" bestFit="1" customWidth="1"/>
    <col min="7171" max="7171" width="17.33203125" customWidth="1"/>
    <col min="7172" max="7172" width="13.88671875" bestFit="1" customWidth="1"/>
    <col min="7173" max="7174" width="15.6640625" customWidth="1"/>
    <col min="7175" max="7175" width="13.88671875" bestFit="1" customWidth="1"/>
    <col min="7176" max="7176" width="16.109375" bestFit="1" customWidth="1"/>
    <col min="7425" max="7425" width="13.33203125" bestFit="1" customWidth="1"/>
    <col min="7427" max="7427" width="17.33203125" customWidth="1"/>
    <col min="7428" max="7428" width="13.88671875" bestFit="1" customWidth="1"/>
    <col min="7429" max="7430" width="15.6640625" customWidth="1"/>
    <col min="7431" max="7431" width="13.88671875" bestFit="1" customWidth="1"/>
    <col min="7432" max="7432" width="16.109375" bestFit="1" customWidth="1"/>
    <col min="7681" max="7681" width="13.33203125" bestFit="1" customWidth="1"/>
    <col min="7683" max="7683" width="17.33203125" customWidth="1"/>
    <col min="7684" max="7684" width="13.88671875" bestFit="1" customWidth="1"/>
    <col min="7685" max="7686" width="15.6640625" customWidth="1"/>
    <col min="7687" max="7687" width="13.88671875" bestFit="1" customWidth="1"/>
    <col min="7688" max="7688" width="16.109375" bestFit="1" customWidth="1"/>
    <col min="7937" max="7937" width="13.33203125" bestFit="1" customWidth="1"/>
    <col min="7939" max="7939" width="17.33203125" customWidth="1"/>
    <col min="7940" max="7940" width="13.88671875" bestFit="1" customWidth="1"/>
    <col min="7941" max="7942" width="15.6640625" customWidth="1"/>
    <col min="7943" max="7943" width="13.88671875" bestFit="1" customWidth="1"/>
    <col min="7944" max="7944" width="16.109375" bestFit="1" customWidth="1"/>
    <col min="8193" max="8193" width="13.33203125" bestFit="1" customWidth="1"/>
    <col min="8195" max="8195" width="17.33203125" customWidth="1"/>
    <col min="8196" max="8196" width="13.88671875" bestFit="1" customWidth="1"/>
    <col min="8197" max="8198" width="15.6640625" customWidth="1"/>
    <col min="8199" max="8199" width="13.88671875" bestFit="1" customWidth="1"/>
    <col min="8200" max="8200" width="16.109375" bestFit="1" customWidth="1"/>
    <col min="8449" max="8449" width="13.33203125" bestFit="1" customWidth="1"/>
    <col min="8451" max="8451" width="17.33203125" customWidth="1"/>
    <col min="8452" max="8452" width="13.88671875" bestFit="1" customWidth="1"/>
    <col min="8453" max="8454" width="15.6640625" customWidth="1"/>
    <col min="8455" max="8455" width="13.88671875" bestFit="1" customWidth="1"/>
    <col min="8456" max="8456" width="16.109375" bestFit="1" customWidth="1"/>
    <col min="8705" max="8705" width="13.33203125" bestFit="1" customWidth="1"/>
    <col min="8707" max="8707" width="17.33203125" customWidth="1"/>
    <col min="8708" max="8708" width="13.88671875" bestFit="1" customWidth="1"/>
    <col min="8709" max="8710" width="15.6640625" customWidth="1"/>
    <col min="8711" max="8711" width="13.88671875" bestFit="1" customWidth="1"/>
    <col min="8712" max="8712" width="16.109375" bestFit="1" customWidth="1"/>
    <col min="8961" max="8961" width="13.33203125" bestFit="1" customWidth="1"/>
    <col min="8963" max="8963" width="17.33203125" customWidth="1"/>
    <col min="8964" max="8964" width="13.88671875" bestFit="1" customWidth="1"/>
    <col min="8965" max="8966" width="15.6640625" customWidth="1"/>
    <col min="8967" max="8967" width="13.88671875" bestFit="1" customWidth="1"/>
    <col min="8968" max="8968" width="16.109375" bestFit="1" customWidth="1"/>
    <col min="9217" max="9217" width="13.33203125" bestFit="1" customWidth="1"/>
    <col min="9219" max="9219" width="17.33203125" customWidth="1"/>
    <col min="9220" max="9220" width="13.88671875" bestFit="1" customWidth="1"/>
    <col min="9221" max="9222" width="15.6640625" customWidth="1"/>
    <col min="9223" max="9223" width="13.88671875" bestFit="1" customWidth="1"/>
    <col min="9224" max="9224" width="16.109375" bestFit="1" customWidth="1"/>
    <col min="9473" max="9473" width="13.33203125" bestFit="1" customWidth="1"/>
    <col min="9475" max="9475" width="17.33203125" customWidth="1"/>
    <col min="9476" max="9476" width="13.88671875" bestFit="1" customWidth="1"/>
    <col min="9477" max="9478" width="15.6640625" customWidth="1"/>
    <col min="9479" max="9479" width="13.88671875" bestFit="1" customWidth="1"/>
    <col min="9480" max="9480" width="16.109375" bestFit="1" customWidth="1"/>
    <col min="9729" max="9729" width="13.33203125" bestFit="1" customWidth="1"/>
    <col min="9731" max="9731" width="17.33203125" customWidth="1"/>
    <col min="9732" max="9732" width="13.88671875" bestFit="1" customWidth="1"/>
    <col min="9733" max="9734" width="15.6640625" customWidth="1"/>
    <col min="9735" max="9735" width="13.88671875" bestFit="1" customWidth="1"/>
    <col min="9736" max="9736" width="16.109375" bestFit="1" customWidth="1"/>
    <col min="9985" max="9985" width="13.33203125" bestFit="1" customWidth="1"/>
    <col min="9987" max="9987" width="17.33203125" customWidth="1"/>
    <col min="9988" max="9988" width="13.88671875" bestFit="1" customWidth="1"/>
    <col min="9989" max="9990" width="15.6640625" customWidth="1"/>
    <col min="9991" max="9991" width="13.88671875" bestFit="1" customWidth="1"/>
    <col min="9992" max="9992" width="16.109375" bestFit="1" customWidth="1"/>
    <col min="10241" max="10241" width="13.33203125" bestFit="1" customWidth="1"/>
    <col min="10243" max="10243" width="17.33203125" customWidth="1"/>
    <col min="10244" max="10244" width="13.88671875" bestFit="1" customWidth="1"/>
    <col min="10245" max="10246" width="15.6640625" customWidth="1"/>
    <col min="10247" max="10247" width="13.88671875" bestFit="1" customWidth="1"/>
    <col min="10248" max="10248" width="16.109375" bestFit="1" customWidth="1"/>
    <col min="10497" max="10497" width="13.33203125" bestFit="1" customWidth="1"/>
    <col min="10499" max="10499" width="17.33203125" customWidth="1"/>
    <col min="10500" max="10500" width="13.88671875" bestFit="1" customWidth="1"/>
    <col min="10501" max="10502" width="15.6640625" customWidth="1"/>
    <col min="10503" max="10503" width="13.88671875" bestFit="1" customWidth="1"/>
    <col min="10504" max="10504" width="16.109375" bestFit="1" customWidth="1"/>
    <col min="10753" max="10753" width="13.33203125" bestFit="1" customWidth="1"/>
    <col min="10755" max="10755" width="17.33203125" customWidth="1"/>
    <col min="10756" max="10756" width="13.88671875" bestFit="1" customWidth="1"/>
    <col min="10757" max="10758" width="15.6640625" customWidth="1"/>
    <col min="10759" max="10759" width="13.88671875" bestFit="1" customWidth="1"/>
    <col min="10760" max="10760" width="16.109375" bestFit="1" customWidth="1"/>
    <col min="11009" max="11009" width="13.33203125" bestFit="1" customWidth="1"/>
    <col min="11011" max="11011" width="17.33203125" customWidth="1"/>
    <col min="11012" max="11012" width="13.88671875" bestFit="1" customWidth="1"/>
    <col min="11013" max="11014" width="15.6640625" customWidth="1"/>
    <col min="11015" max="11015" width="13.88671875" bestFit="1" customWidth="1"/>
    <col min="11016" max="11016" width="16.109375" bestFit="1" customWidth="1"/>
    <col min="11265" max="11265" width="13.33203125" bestFit="1" customWidth="1"/>
    <col min="11267" max="11267" width="17.33203125" customWidth="1"/>
    <col min="11268" max="11268" width="13.88671875" bestFit="1" customWidth="1"/>
    <col min="11269" max="11270" width="15.6640625" customWidth="1"/>
    <col min="11271" max="11271" width="13.88671875" bestFit="1" customWidth="1"/>
    <col min="11272" max="11272" width="16.109375" bestFit="1" customWidth="1"/>
    <col min="11521" max="11521" width="13.33203125" bestFit="1" customWidth="1"/>
    <col min="11523" max="11523" width="17.33203125" customWidth="1"/>
    <col min="11524" max="11524" width="13.88671875" bestFit="1" customWidth="1"/>
    <col min="11525" max="11526" width="15.6640625" customWidth="1"/>
    <col min="11527" max="11527" width="13.88671875" bestFit="1" customWidth="1"/>
    <col min="11528" max="11528" width="16.109375" bestFit="1" customWidth="1"/>
    <col min="11777" max="11777" width="13.33203125" bestFit="1" customWidth="1"/>
    <col min="11779" max="11779" width="17.33203125" customWidth="1"/>
    <col min="11780" max="11780" width="13.88671875" bestFit="1" customWidth="1"/>
    <col min="11781" max="11782" width="15.6640625" customWidth="1"/>
    <col min="11783" max="11783" width="13.88671875" bestFit="1" customWidth="1"/>
    <col min="11784" max="11784" width="16.109375" bestFit="1" customWidth="1"/>
    <col min="12033" max="12033" width="13.33203125" bestFit="1" customWidth="1"/>
    <col min="12035" max="12035" width="17.33203125" customWidth="1"/>
    <col min="12036" max="12036" width="13.88671875" bestFit="1" customWidth="1"/>
    <col min="12037" max="12038" width="15.6640625" customWidth="1"/>
    <col min="12039" max="12039" width="13.88671875" bestFit="1" customWidth="1"/>
    <col min="12040" max="12040" width="16.109375" bestFit="1" customWidth="1"/>
    <col min="12289" max="12289" width="13.33203125" bestFit="1" customWidth="1"/>
    <col min="12291" max="12291" width="17.33203125" customWidth="1"/>
    <col min="12292" max="12292" width="13.88671875" bestFit="1" customWidth="1"/>
    <col min="12293" max="12294" width="15.6640625" customWidth="1"/>
    <col min="12295" max="12295" width="13.88671875" bestFit="1" customWidth="1"/>
    <col min="12296" max="12296" width="16.109375" bestFit="1" customWidth="1"/>
    <col min="12545" max="12545" width="13.33203125" bestFit="1" customWidth="1"/>
    <col min="12547" max="12547" width="17.33203125" customWidth="1"/>
    <col min="12548" max="12548" width="13.88671875" bestFit="1" customWidth="1"/>
    <col min="12549" max="12550" width="15.6640625" customWidth="1"/>
    <col min="12551" max="12551" width="13.88671875" bestFit="1" customWidth="1"/>
    <col min="12552" max="12552" width="16.109375" bestFit="1" customWidth="1"/>
    <col min="12801" max="12801" width="13.33203125" bestFit="1" customWidth="1"/>
    <col min="12803" max="12803" width="17.33203125" customWidth="1"/>
    <col min="12804" max="12804" width="13.88671875" bestFit="1" customWidth="1"/>
    <col min="12805" max="12806" width="15.6640625" customWidth="1"/>
    <col min="12807" max="12807" width="13.88671875" bestFit="1" customWidth="1"/>
    <col min="12808" max="12808" width="16.109375" bestFit="1" customWidth="1"/>
    <col min="13057" max="13057" width="13.33203125" bestFit="1" customWidth="1"/>
    <col min="13059" max="13059" width="17.33203125" customWidth="1"/>
    <col min="13060" max="13060" width="13.88671875" bestFit="1" customWidth="1"/>
    <col min="13061" max="13062" width="15.6640625" customWidth="1"/>
    <col min="13063" max="13063" width="13.88671875" bestFit="1" customWidth="1"/>
    <col min="13064" max="13064" width="16.109375" bestFit="1" customWidth="1"/>
    <col min="13313" max="13313" width="13.33203125" bestFit="1" customWidth="1"/>
    <col min="13315" max="13315" width="17.33203125" customWidth="1"/>
    <col min="13316" max="13316" width="13.88671875" bestFit="1" customWidth="1"/>
    <col min="13317" max="13318" width="15.6640625" customWidth="1"/>
    <col min="13319" max="13319" width="13.88671875" bestFit="1" customWidth="1"/>
    <col min="13320" max="13320" width="16.109375" bestFit="1" customWidth="1"/>
    <col min="13569" max="13569" width="13.33203125" bestFit="1" customWidth="1"/>
    <col min="13571" max="13571" width="17.33203125" customWidth="1"/>
    <col min="13572" max="13572" width="13.88671875" bestFit="1" customWidth="1"/>
    <col min="13573" max="13574" width="15.6640625" customWidth="1"/>
    <col min="13575" max="13575" width="13.88671875" bestFit="1" customWidth="1"/>
    <col min="13576" max="13576" width="16.109375" bestFit="1" customWidth="1"/>
    <col min="13825" max="13825" width="13.33203125" bestFit="1" customWidth="1"/>
    <col min="13827" max="13827" width="17.33203125" customWidth="1"/>
    <col min="13828" max="13828" width="13.88671875" bestFit="1" customWidth="1"/>
    <col min="13829" max="13830" width="15.6640625" customWidth="1"/>
    <col min="13831" max="13831" width="13.88671875" bestFit="1" customWidth="1"/>
    <col min="13832" max="13832" width="16.109375" bestFit="1" customWidth="1"/>
    <col min="14081" max="14081" width="13.33203125" bestFit="1" customWidth="1"/>
    <col min="14083" max="14083" width="17.33203125" customWidth="1"/>
    <col min="14084" max="14084" width="13.88671875" bestFit="1" customWidth="1"/>
    <col min="14085" max="14086" width="15.6640625" customWidth="1"/>
    <col min="14087" max="14087" width="13.88671875" bestFit="1" customWidth="1"/>
    <col min="14088" max="14088" width="16.109375" bestFit="1" customWidth="1"/>
    <col min="14337" max="14337" width="13.33203125" bestFit="1" customWidth="1"/>
    <col min="14339" max="14339" width="17.33203125" customWidth="1"/>
    <col min="14340" max="14340" width="13.88671875" bestFit="1" customWidth="1"/>
    <col min="14341" max="14342" width="15.6640625" customWidth="1"/>
    <col min="14343" max="14343" width="13.88671875" bestFit="1" customWidth="1"/>
    <col min="14344" max="14344" width="16.109375" bestFit="1" customWidth="1"/>
    <col min="14593" max="14593" width="13.33203125" bestFit="1" customWidth="1"/>
    <col min="14595" max="14595" width="17.33203125" customWidth="1"/>
    <col min="14596" max="14596" width="13.88671875" bestFit="1" customWidth="1"/>
    <col min="14597" max="14598" width="15.6640625" customWidth="1"/>
    <col min="14599" max="14599" width="13.88671875" bestFit="1" customWidth="1"/>
    <col min="14600" max="14600" width="16.109375" bestFit="1" customWidth="1"/>
    <col min="14849" max="14849" width="13.33203125" bestFit="1" customWidth="1"/>
    <col min="14851" max="14851" width="17.33203125" customWidth="1"/>
    <col min="14852" max="14852" width="13.88671875" bestFit="1" customWidth="1"/>
    <col min="14853" max="14854" width="15.6640625" customWidth="1"/>
    <col min="14855" max="14855" width="13.88671875" bestFit="1" customWidth="1"/>
    <col min="14856" max="14856" width="16.109375" bestFit="1" customWidth="1"/>
    <col min="15105" max="15105" width="13.33203125" bestFit="1" customWidth="1"/>
    <col min="15107" max="15107" width="17.33203125" customWidth="1"/>
    <col min="15108" max="15108" width="13.88671875" bestFit="1" customWidth="1"/>
    <col min="15109" max="15110" width="15.6640625" customWidth="1"/>
    <col min="15111" max="15111" width="13.88671875" bestFit="1" customWidth="1"/>
    <col min="15112" max="15112" width="16.109375" bestFit="1" customWidth="1"/>
    <col min="15361" max="15361" width="13.33203125" bestFit="1" customWidth="1"/>
    <col min="15363" max="15363" width="17.33203125" customWidth="1"/>
    <col min="15364" max="15364" width="13.88671875" bestFit="1" customWidth="1"/>
    <col min="15365" max="15366" width="15.6640625" customWidth="1"/>
    <col min="15367" max="15367" width="13.88671875" bestFit="1" customWidth="1"/>
    <col min="15368" max="15368" width="16.109375" bestFit="1" customWidth="1"/>
    <col min="15617" max="15617" width="13.33203125" bestFit="1" customWidth="1"/>
    <col min="15619" max="15619" width="17.33203125" customWidth="1"/>
    <col min="15620" max="15620" width="13.88671875" bestFit="1" customWidth="1"/>
    <col min="15621" max="15622" width="15.6640625" customWidth="1"/>
    <col min="15623" max="15623" width="13.88671875" bestFit="1" customWidth="1"/>
    <col min="15624" max="15624" width="16.109375" bestFit="1" customWidth="1"/>
    <col min="15873" max="15873" width="13.33203125" bestFit="1" customWidth="1"/>
    <col min="15875" max="15875" width="17.33203125" customWidth="1"/>
    <col min="15876" max="15876" width="13.88671875" bestFit="1" customWidth="1"/>
    <col min="15877" max="15878" width="15.6640625" customWidth="1"/>
    <col min="15879" max="15879" width="13.88671875" bestFit="1" customWidth="1"/>
    <col min="15880" max="15880" width="16.109375" bestFit="1" customWidth="1"/>
    <col min="16129" max="16129" width="13.33203125" bestFit="1" customWidth="1"/>
    <col min="16131" max="16131" width="17.33203125" customWidth="1"/>
    <col min="16132" max="16132" width="13.88671875" bestFit="1" customWidth="1"/>
    <col min="16133" max="16134" width="15.6640625" customWidth="1"/>
    <col min="16135" max="16135" width="13.88671875" bestFit="1" customWidth="1"/>
    <col min="16136" max="16136" width="16.109375" bestFit="1" customWidth="1"/>
  </cols>
  <sheetData>
    <row r="1" spans="1:8" x14ac:dyDescent="0.3">
      <c r="A1" s="1" t="s">
        <v>97</v>
      </c>
      <c r="B1" s="1">
        <v>-175</v>
      </c>
    </row>
    <row r="2" spans="1:8" x14ac:dyDescent="0.3">
      <c r="A2" s="1" t="s">
        <v>113</v>
      </c>
      <c r="B2" s="1">
        <v>0.1</v>
      </c>
    </row>
    <row r="3" spans="1:8" x14ac:dyDescent="0.3">
      <c r="A3" s="1" t="s">
        <v>39</v>
      </c>
      <c r="B3" s="1">
        <v>12</v>
      </c>
    </row>
    <row r="4" spans="1:8" x14ac:dyDescent="0.3">
      <c r="A4" s="1" t="s">
        <v>96</v>
      </c>
      <c r="B4" s="2"/>
      <c r="D4" s="1" t="s">
        <v>99</v>
      </c>
    </row>
    <row r="5" spans="1:8" x14ac:dyDescent="0.3">
      <c r="A5" s="1" t="s">
        <v>95</v>
      </c>
      <c r="B5" s="1">
        <v>50000</v>
      </c>
      <c r="D5" s="9">
        <f>FV(B2/B3,NPER(B2/B3,B1,,B5),B1)</f>
        <v>50000</v>
      </c>
      <c r="G5" t="s">
        <v>200</v>
      </c>
      <c r="H5" t="s">
        <v>201</v>
      </c>
    </row>
    <row r="6" spans="1:8" x14ac:dyDescent="0.3">
      <c r="A6" s="1" t="s">
        <v>202</v>
      </c>
      <c r="B6" s="42"/>
      <c r="C6" t="s">
        <v>185</v>
      </c>
      <c r="G6" t="e">
        <f>LN(B5/B1*B2/B3+1)/LN(1+B4)</f>
        <v>#NUM!</v>
      </c>
      <c r="H6" s="7" t="e">
        <f>FV(B4,G6,-B1,,#REF!)</f>
        <v>#NUM!</v>
      </c>
    </row>
    <row r="7" spans="1:8" x14ac:dyDescent="0.3">
      <c r="A7" s="1" t="s">
        <v>203</v>
      </c>
      <c r="B7" s="42"/>
      <c r="C7" s="1" t="s">
        <v>204</v>
      </c>
    </row>
  </sheetData>
  <pageMargins left="0.75" right="0.75" top="1" bottom="1" header="0.5" footer="0.5"/>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
  <sheetViews>
    <sheetView zoomScale="160" workbookViewId="0">
      <selection activeCell="B15" sqref="B15"/>
    </sheetView>
  </sheetViews>
  <sheetFormatPr defaultRowHeight="14.4" x14ac:dyDescent="0.3"/>
  <cols>
    <col min="1" max="1" width="13.33203125" bestFit="1" customWidth="1"/>
    <col min="3" max="3" width="17.33203125" customWidth="1"/>
    <col min="4" max="4" width="13.88671875" bestFit="1" customWidth="1"/>
    <col min="5" max="6" width="15.6640625" customWidth="1"/>
    <col min="7" max="7" width="13.88671875" bestFit="1" customWidth="1"/>
    <col min="8" max="8" width="16.109375" bestFit="1" customWidth="1"/>
    <col min="257" max="257" width="13.33203125" bestFit="1" customWidth="1"/>
    <col min="259" max="259" width="17.33203125" customWidth="1"/>
    <col min="260" max="260" width="13.88671875" bestFit="1" customWidth="1"/>
    <col min="261" max="262" width="15.6640625" customWidth="1"/>
    <col min="263" max="263" width="13.88671875" bestFit="1" customWidth="1"/>
    <col min="264" max="264" width="16.109375" bestFit="1" customWidth="1"/>
    <col min="513" max="513" width="13.33203125" bestFit="1" customWidth="1"/>
    <col min="515" max="515" width="17.33203125" customWidth="1"/>
    <col min="516" max="516" width="13.88671875" bestFit="1" customWidth="1"/>
    <col min="517" max="518" width="15.6640625" customWidth="1"/>
    <col min="519" max="519" width="13.88671875" bestFit="1" customWidth="1"/>
    <col min="520" max="520" width="16.109375" bestFit="1" customWidth="1"/>
    <col min="769" max="769" width="13.33203125" bestFit="1" customWidth="1"/>
    <col min="771" max="771" width="17.33203125" customWidth="1"/>
    <col min="772" max="772" width="13.88671875" bestFit="1" customWidth="1"/>
    <col min="773" max="774" width="15.6640625" customWidth="1"/>
    <col min="775" max="775" width="13.88671875" bestFit="1" customWidth="1"/>
    <col min="776" max="776" width="16.109375" bestFit="1" customWidth="1"/>
    <col min="1025" max="1025" width="13.33203125" bestFit="1" customWidth="1"/>
    <col min="1027" max="1027" width="17.33203125" customWidth="1"/>
    <col min="1028" max="1028" width="13.88671875" bestFit="1" customWidth="1"/>
    <col min="1029" max="1030" width="15.6640625" customWidth="1"/>
    <col min="1031" max="1031" width="13.88671875" bestFit="1" customWidth="1"/>
    <col min="1032" max="1032" width="16.109375" bestFit="1" customWidth="1"/>
    <col min="1281" max="1281" width="13.33203125" bestFit="1" customWidth="1"/>
    <col min="1283" max="1283" width="17.33203125" customWidth="1"/>
    <col min="1284" max="1284" width="13.88671875" bestFit="1" customWidth="1"/>
    <col min="1285" max="1286" width="15.6640625" customWidth="1"/>
    <col min="1287" max="1287" width="13.88671875" bestFit="1" customWidth="1"/>
    <col min="1288" max="1288" width="16.109375" bestFit="1" customWidth="1"/>
    <col min="1537" max="1537" width="13.33203125" bestFit="1" customWidth="1"/>
    <col min="1539" max="1539" width="17.33203125" customWidth="1"/>
    <col min="1540" max="1540" width="13.88671875" bestFit="1" customWidth="1"/>
    <col min="1541" max="1542" width="15.6640625" customWidth="1"/>
    <col min="1543" max="1543" width="13.88671875" bestFit="1" customWidth="1"/>
    <col min="1544" max="1544" width="16.109375" bestFit="1" customWidth="1"/>
    <col min="1793" max="1793" width="13.33203125" bestFit="1" customWidth="1"/>
    <col min="1795" max="1795" width="17.33203125" customWidth="1"/>
    <col min="1796" max="1796" width="13.88671875" bestFit="1" customWidth="1"/>
    <col min="1797" max="1798" width="15.6640625" customWidth="1"/>
    <col min="1799" max="1799" width="13.88671875" bestFit="1" customWidth="1"/>
    <col min="1800" max="1800" width="16.109375" bestFit="1" customWidth="1"/>
    <col min="2049" max="2049" width="13.33203125" bestFit="1" customWidth="1"/>
    <col min="2051" max="2051" width="17.33203125" customWidth="1"/>
    <col min="2052" max="2052" width="13.88671875" bestFit="1" customWidth="1"/>
    <col min="2053" max="2054" width="15.6640625" customWidth="1"/>
    <col min="2055" max="2055" width="13.88671875" bestFit="1" customWidth="1"/>
    <col min="2056" max="2056" width="16.109375" bestFit="1" customWidth="1"/>
    <col min="2305" max="2305" width="13.33203125" bestFit="1" customWidth="1"/>
    <col min="2307" max="2307" width="17.33203125" customWidth="1"/>
    <col min="2308" max="2308" width="13.88671875" bestFit="1" customWidth="1"/>
    <col min="2309" max="2310" width="15.6640625" customWidth="1"/>
    <col min="2311" max="2311" width="13.88671875" bestFit="1" customWidth="1"/>
    <col min="2312" max="2312" width="16.109375" bestFit="1" customWidth="1"/>
    <col min="2561" max="2561" width="13.33203125" bestFit="1" customWidth="1"/>
    <col min="2563" max="2563" width="17.33203125" customWidth="1"/>
    <col min="2564" max="2564" width="13.88671875" bestFit="1" customWidth="1"/>
    <col min="2565" max="2566" width="15.6640625" customWidth="1"/>
    <col min="2567" max="2567" width="13.88671875" bestFit="1" customWidth="1"/>
    <col min="2568" max="2568" width="16.109375" bestFit="1" customWidth="1"/>
    <col min="2817" max="2817" width="13.33203125" bestFit="1" customWidth="1"/>
    <col min="2819" max="2819" width="17.33203125" customWidth="1"/>
    <col min="2820" max="2820" width="13.88671875" bestFit="1" customWidth="1"/>
    <col min="2821" max="2822" width="15.6640625" customWidth="1"/>
    <col min="2823" max="2823" width="13.88671875" bestFit="1" customWidth="1"/>
    <col min="2824" max="2824" width="16.109375" bestFit="1" customWidth="1"/>
    <col min="3073" max="3073" width="13.33203125" bestFit="1" customWidth="1"/>
    <col min="3075" max="3075" width="17.33203125" customWidth="1"/>
    <col min="3076" max="3076" width="13.88671875" bestFit="1" customWidth="1"/>
    <col min="3077" max="3078" width="15.6640625" customWidth="1"/>
    <col min="3079" max="3079" width="13.88671875" bestFit="1" customWidth="1"/>
    <col min="3080" max="3080" width="16.109375" bestFit="1" customWidth="1"/>
    <col min="3329" max="3329" width="13.33203125" bestFit="1" customWidth="1"/>
    <col min="3331" max="3331" width="17.33203125" customWidth="1"/>
    <col min="3332" max="3332" width="13.88671875" bestFit="1" customWidth="1"/>
    <col min="3333" max="3334" width="15.6640625" customWidth="1"/>
    <col min="3335" max="3335" width="13.88671875" bestFit="1" customWidth="1"/>
    <col min="3336" max="3336" width="16.109375" bestFit="1" customWidth="1"/>
    <col min="3585" max="3585" width="13.33203125" bestFit="1" customWidth="1"/>
    <col min="3587" max="3587" width="17.33203125" customWidth="1"/>
    <col min="3588" max="3588" width="13.88671875" bestFit="1" customWidth="1"/>
    <col min="3589" max="3590" width="15.6640625" customWidth="1"/>
    <col min="3591" max="3591" width="13.88671875" bestFit="1" customWidth="1"/>
    <col min="3592" max="3592" width="16.109375" bestFit="1" customWidth="1"/>
    <col min="3841" max="3841" width="13.33203125" bestFit="1" customWidth="1"/>
    <col min="3843" max="3843" width="17.33203125" customWidth="1"/>
    <col min="3844" max="3844" width="13.88671875" bestFit="1" customWidth="1"/>
    <col min="3845" max="3846" width="15.6640625" customWidth="1"/>
    <col min="3847" max="3847" width="13.88671875" bestFit="1" customWidth="1"/>
    <col min="3848" max="3848" width="16.109375" bestFit="1" customWidth="1"/>
    <col min="4097" max="4097" width="13.33203125" bestFit="1" customWidth="1"/>
    <col min="4099" max="4099" width="17.33203125" customWidth="1"/>
    <col min="4100" max="4100" width="13.88671875" bestFit="1" customWidth="1"/>
    <col min="4101" max="4102" width="15.6640625" customWidth="1"/>
    <col min="4103" max="4103" width="13.88671875" bestFit="1" customWidth="1"/>
    <col min="4104" max="4104" width="16.109375" bestFit="1" customWidth="1"/>
    <col min="4353" max="4353" width="13.33203125" bestFit="1" customWidth="1"/>
    <col min="4355" max="4355" width="17.33203125" customWidth="1"/>
    <col min="4356" max="4356" width="13.88671875" bestFit="1" customWidth="1"/>
    <col min="4357" max="4358" width="15.6640625" customWidth="1"/>
    <col min="4359" max="4359" width="13.88671875" bestFit="1" customWidth="1"/>
    <col min="4360" max="4360" width="16.109375" bestFit="1" customWidth="1"/>
    <col min="4609" max="4609" width="13.33203125" bestFit="1" customWidth="1"/>
    <col min="4611" max="4611" width="17.33203125" customWidth="1"/>
    <col min="4612" max="4612" width="13.88671875" bestFit="1" customWidth="1"/>
    <col min="4613" max="4614" width="15.6640625" customWidth="1"/>
    <col min="4615" max="4615" width="13.88671875" bestFit="1" customWidth="1"/>
    <col min="4616" max="4616" width="16.109375" bestFit="1" customWidth="1"/>
    <col min="4865" max="4865" width="13.33203125" bestFit="1" customWidth="1"/>
    <col min="4867" max="4867" width="17.33203125" customWidth="1"/>
    <col min="4868" max="4868" width="13.88671875" bestFit="1" customWidth="1"/>
    <col min="4869" max="4870" width="15.6640625" customWidth="1"/>
    <col min="4871" max="4871" width="13.88671875" bestFit="1" customWidth="1"/>
    <col min="4872" max="4872" width="16.109375" bestFit="1" customWidth="1"/>
    <col min="5121" max="5121" width="13.33203125" bestFit="1" customWidth="1"/>
    <col min="5123" max="5123" width="17.33203125" customWidth="1"/>
    <col min="5124" max="5124" width="13.88671875" bestFit="1" customWidth="1"/>
    <col min="5125" max="5126" width="15.6640625" customWidth="1"/>
    <col min="5127" max="5127" width="13.88671875" bestFit="1" customWidth="1"/>
    <col min="5128" max="5128" width="16.109375" bestFit="1" customWidth="1"/>
    <col min="5377" max="5377" width="13.33203125" bestFit="1" customWidth="1"/>
    <col min="5379" max="5379" width="17.33203125" customWidth="1"/>
    <col min="5380" max="5380" width="13.88671875" bestFit="1" customWidth="1"/>
    <col min="5381" max="5382" width="15.6640625" customWidth="1"/>
    <col min="5383" max="5383" width="13.88671875" bestFit="1" customWidth="1"/>
    <col min="5384" max="5384" width="16.109375" bestFit="1" customWidth="1"/>
    <col min="5633" max="5633" width="13.33203125" bestFit="1" customWidth="1"/>
    <col min="5635" max="5635" width="17.33203125" customWidth="1"/>
    <col min="5636" max="5636" width="13.88671875" bestFit="1" customWidth="1"/>
    <col min="5637" max="5638" width="15.6640625" customWidth="1"/>
    <col min="5639" max="5639" width="13.88671875" bestFit="1" customWidth="1"/>
    <col min="5640" max="5640" width="16.109375" bestFit="1" customWidth="1"/>
    <col min="5889" max="5889" width="13.33203125" bestFit="1" customWidth="1"/>
    <col min="5891" max="5891" width="17.33203125" customWidth="1"/>
    <col min="5892" max="5892" width="13.88671875" bestFit="1" customWidth="1"/>
    <col min="5893" max="5894" width="15.6640625" customWidth="1"/>
    <col min="5895" max="5895" width="13.88671875" bestFit="1" customWidth="1"/>
    <col min="5896" max="5896" width="16.109375" bestFit="1" customWidth="1"/>
    <col min="6145" max="6145" width="13.33203125" bestFit="1" customWidth="1"/>
    <col min="6147" max="6147" width="17.33203125" customWidth="1"/>
    <col min="6148" max="6148" width="13.88671875" bestFit="1" customWidth="1"/>
    <col min="6149" max="6150" width="15.6640625" customWidth="1"/>
    <col min="6151" max="6151" width="13.88671875" bestFit="1" customWidth="1"/>
    <col min="6152" max="6152" width="16.109375" bestFit="1" customWidth="1"/>
    <col min="6401" max="6401" width="13.33203125" bestFit="1" customWidth="1"/>
    <col min="6403" max="6403" width="17.33203125" customWidth="1"/>
    <col min="6404" max="6404" width="13.88671875" bestFit="1" customWidth="1"/>
    <col min="6405" max="6406" width="15.6640625" customWidth="1"/>
    <col min="6407" max="6407" width="13.88671875" bestFit="1" customWidth="1"/>
    <col min="6408" max="6408" width="16.109375" bestFit="1" customWidth="1"/>
    <col min="6657" max="6657" width="13.33203125" bestFit="1" customWidth="1"/>
    <col min="6659" max="6659" width="17.33203125" customWidth="1"/>
    <col min="6660" max="6660" width="13.88671875" bestFit="1" customWidth="1"/>
    <col min="6661" max="6662" width="15.6640625" customWidth="1"/>
    <col min="6663" max="6663" width="13.88671875" bestFit="1" customWidth="1"/>
    <col min="6664" max="6664" width="16.109375" bestFit="1" customWidth="1"/>
    <col min="6913" max="6913" width="13.33203125" bestFit="1" customWidth="1"/>
    <col min="6915" max="6915" width="17.33203125" customWidth="1"/>
    <col min="6916" max="6916" width="13.88671875" bestFit="1" customWidth="1"/>
    <col min="6917" max="6918" width="15.6640625" customWidth="1"/>
    <col min="6919" max="6919" width="13.88671875" bestFit="1" customWidth="1"/>
    <col min="6920" max="6920" width="16.109375" bestFit="1" customWidth="1"/>
    <col min="7169" max="7169" width="13.33203125" bestFit="1" customWidth="1"/>
    <col min="7171" max="7171" width="17.33203125" customWidth="1"/>
    <col min="7172" max="7172" width="13.88671875" bestFit="1" customWidth="1"/>
    <col min="7173" max="7174" width="15.6640625" customWidth="1"/>
    <col min="7175" max="7175" width="13.88671875" bestFit="1" customWidth="1"/>
    <col min="7176" max="7176" width="16.109375" bestFit="1" customWidth="1"/>
    <col min="7425" max="7425" width="13.33203125" bestFit="1" customWidth="1"/>
    <col min="7427" max="7427" width="17.33203125" customWidth="1"/>
    <col min="7428" max="7428" width="13.88671875" bestFit="1" customWidth="1"/>
    <col min="7429" max="7430" width="15.6640625" customWidth="1"/>
    <col min="7431" max="7431" width="13.88671875" bestFit="1" customWidth="1"/>
    <col min="7432" max="7432" width="16.109375" bestFit="1" customWidth="1"/>
    <col min="7681" max="7681" width="13.33203125" bestFit="1" customWidth="1"/>
    <col min="7683" max="7683" width="17.33203125" customWidth="1"/>
    <col min="7684" max="7684" width="13.88671875" bestFit="1" customWidth="1"/>
    <col min="7685" max="7686" width="15.6640625" customWidth="1"/>
    <col min="7687" max="7687" width="13.88671875" bestFit="1" customWidth="1"/>
    <col min="7688" max="7688" width="16.109375" bestFit="1" customWidth="1"/>
    <col min="7937" max="7937" width="13.33203125" bestFit="1" customWidth="1"/>
    <col min="7939" max="7939" width="17.33203125" customWidth="1"/>
    <col min="7940" max="7940" width="13.88671875" bestFit="1" customWidth="1"/>
    <col min="7941" max="7942" width="15.6640625" customWidth="1"/>
    <col min="7943" max="7943" width="13.88671875" bestFit="1" customWidth="1"/>
    <col min="7944" max="7944" width="16.109375" bestFit="1" customWidth="1"/>
    <col min="8193" max="8193" width="13.33203125" bestFit="1" customWidth="1"/>
    <col min="8195" max="8195" width="17.33203125" customWidth="1"/>
    <col min="8196" max="8196" width="13.88671875" bestFit="1" customWidth="1"/>
    <col min="8197" max="8198" width="15.6640625" customWidth="1"/>
    <col min="8199" max="8199" width="13.88671875" bestFit="1" customWidth="1"/>
    <col min="8200" max="8200" width="16.109375" bestFit="1" customWidth="1"/>
    <col min="8449" max="8449" width="13.33203125" bestFit="1" customWidth="1"/>
    <col min="8451" max="8451" width="17.33203125" customWidth="1"/>
    <col min="8452" max="8452" width="13.88671875" bestFit="1" customWidth="1"/>
    <col min="8453" max="8454" width="15.6640625" customWidth="1"/>
    <col min="8455" max="8455" width="13.88671875" bestFit="1" customWidth="1"/>
    <col min="8456" max="8456" width="16.109375" bestFit="1" customWidth="1"/>
    <col min="8705" max="8705" width="13.33203125" bestFit="1" customWidth="1"/>
    <col min="8707" max="8707" width="17.33203125" customWidth="1"/>
    <col min="8708" max="8708" width="13.88671875" bestFit="1" customWidth="1"/>
    <col min="8709" max="8710" width="15.6640625" customWidth="1"/>
    <col min="8711" max="8711" width="13.88671875" bestFit="1" customWidth="1"/>
    <col min="8712" max="8712" width="16.109375" bestFit="1" customWidth="1"/>
    <col min="8961" max="8961" width="13.33203125" bestFit="1" customWidth="1"/>
    <col min="8963" max="8963" width="17.33203125" customWidth="1"/>
    <col min="8964" max="8964" width="13.88671875" bestFit="1" customWidth="1"/>
    <col min="8965" max="8966" width="15.6640625" customWidth="1"/>
    <col min="8967" max="8967" width="13.88671875" bestFit="1" customWidth="1"/>
    <col min="8968" max="8968" width="16.109375" bestFit="1" customWidth="1"/>
    <col min="9217" max="9217" width="13.33203125" bestFit="1" customWidth="1"/>
    <col min="9219" max="9219" width="17.33203125" customWidth="1"/>
    <col min="9220" max="9220" width="13.88671875" bestFit="1" customWidth="1"/>
    <col min="9221" max="9222" width="15.6640625" customWidth="1"/>
    <col min="9223" max="9223" width="13.88671875" bestFit="1" customWidth="1"/>
    <col min="9224" max="9224" width="16.109375" bestFit="1" customWidth="1"/>
    <col min="9473" max="9473" width="13.33203125" bestFit="1" customWidth="1"/>
    <col min="9475" max="9475" width="17.33203125" customWidth="1"/>
    <col min="9476" max="9476" width="13.88671875" bestFit="1" customWidth="1"/>
    <col min="9477" max="9478" width="15.6640625" customWidth="1"/>
    <col min="9479" max="9479" width="13.88671875" bestFit="1" customWidth="1"/>
    <col min="9480" max="9480" width="16.109375" bestFit="1" customWidth="1"/>
    <col min="9729" max="9729" width="13.33203125" bestFit="1" customWidth="1"/>
    <col min="9731" max="9731" width="17.33203125" customWidth="1"/>
    <col min="9732" max="9732" width="13.88671875" bestFit="1" customWidth="1"/>
    <col min="9733" max="9734" width="15.6640625" customWidth="1"/>
    <col min="9735" max="9735" width="13.88671875" bestFit="1" customWidth="1"/>
    <col min="9736" max="9736" width="16.109375" bestFit="1" customWidth="1"/>
    <col min="9985" max="9985" width="13.33203125" bestFit="1" customWidth="1"/>
    <col min="9987" max="9987" width="17.33203125" customWidth="1"/>
    <col min="9988" max="9988" width="13.88671875" bestFit="1" customWidth="1"/>
    <col min="9989" max="9990" width="15.6640625" customWidth="1"/>
    <col min="9991" max="9991" width="13.88671875" bestFit="1" customWidth="1"/>
    <col min="9992" max="9992" width="16.109375" bestFit="1" customWidth="1"/>
    <col min="10241" max="10241" width="13.33203125" bestFit="1" customWidth="1"/>
    <col min="10243" max="10243" width="17.33203125" customWidth="1"/>
    <col min="10244" max="10244" width="13.88671875" bestFit="1" customWidth="1"/>
    <col min="10245" max="10246" width="15.6640625" customWidth="1"/>
    <col min="10247" max="10247" width="13.88671875" bestFit="1" customWidth="1"/>
    <col min="10248" max="10248" width="16.109375" bestFit="1" customWidth="1"/>
    <col min="10497" max="10497" width="13.33203125" bestFit="1" customWidth="1"/>
    <col min="10499" max="10499" width="17.33203125" customWidth="1"/>
    <col min="10500" max="10500" width="13.88671875" bestFit="1" customWidth="1"/>
    <col min="10501" max="10502" width="15.6640625" customWidth="1"/>
    <col min="10503" max="10503" width="13.88671875" bestFit="1" customWidth="1"/>
    <col min="10504" max="10504" width="16.109375" bestFit="1" customWidth="1"/>
    <col min="10753" max="10753" width="13.33203125" bestFit="1" customWidth="1"/>
    <col min="10755" max="10755" width="17.33203125" customWidth="1"/>
    <col min="10756" max="10756" width="13.88671875" bestFit="1" customWidth="1"/>
    <col min="10757" max="10758" width="15.6640625" customWidth="1"/>
    <col min="10759" max="10759" width="13.88671875" bestFit="1" customWidth="1"/>
    <col min="10760" max="10760" width="16.109375" bestFit="1" customWidth="1"/>
    <col min="11009" max="11009" width="13.33203125" bestFit="1" customWidth="1"/>
    <col min="11011" max="11011" width="17.33203125" customWidth="1"/>
    <col min="11012" max="11012" width="13.88671875" bestFit="1" customWidth="1"/>
    <col min="11013" max="11014" width="15.6640625" customWidth="1"/>
    <col min="11015" max="11015" width="13.88671875" bestFit="1" customWidth="1"/>
    <col min="11016" max="11016" width="16.109375" bestFit="1" customWidth="1"/>
    <col min="11265" max="11265" width="13.33203125" bestFit="1" customWidth="1"/>
    <col min="11267" max="11267" width="17.33203125" customWidth="1"/>
    <col min="11268" max="11268" width="13.88671875" bestFit="1" customWidth="1"/>
    <col min="11269" max="11270" width="15.6640625" customWidth="1"/>
    <col min="11271" max="11271" width="13.88671875" bestFit="1" customWidth="1"/>
    <col min="11272" max="11272" width="16.109375" bestFit="1" customWidth="1"/>
    <col min="11521" max="11521" width="13.33203125" bestFit="1" customWidth="1"/>
    <col min="11523" max="11523" width="17.33203125" customWidth="1"/>
    <col min="11524" max="11524" width="13.88671875" bestFit="1" customWidth="1"/>
    <col min="11525" max="11526" width="15.6640625" customWidth="1"/>
    <col min="11527" max="11527" width="13.88671875" bestFit="1" customWidth="1"/>
    <col min="11528" max="11528" width="16.109375" bestFit="1" customWidth="1"/>
    <col min="11777" max="11777" width="13.33203125" bestFit="1" customWidth="1"/>
    <col min="11779" max="11779" width="17.33203125" customWidth="1"/>
    <col min="11780" max="11780" width="13.88671875" bestFit="1" customWidth="1"/>
    <col min="11781" max="11782" width="15.6640625" customWidth="1"/>
    <col min="11783" max="11783" width="13.88671875" bestFit="1" customWidth="1"/>
    <col min="11784" max="11784" width="16.109375" bestFit="1" customWidth="1"/>
    <col min="12033" max="12033" width="13.33203125" bestFit="1" customWidth="1"/>
    <col min="12035" max="12035" width="17.33203125" customWidth="1"/>
    <col min="12036" max="12036" width="13.88671875" bestFit="1" customWidth="1"/>
    <col min="12037" max="12038" width="15.6640625" customWidth="1"/>
    <col min="12039" max="12039" width="13.88671875" bestFit="1" customWidth="1"/>
    <col min="12040" max="12040" width="16.109375" bestFit="1" customWidth="1"/>
    <col min="12289" max="12289" width="13.33203125" bestFit="1" customWidth="1"/>
    <col min="12291" max="12291" width="17.33203125" customWidth="1"/>
    <col min="12292" max="12292" width="13.88671875" bestFit="1" customWidth="1"/>
    <col min="12293" max="12294" width="15.6640625" customWidth="1"/>
    <col min="12295" max="12295" width="13.88671875" bestFit="1" customWidth="1"/>
    <col min="12296" max="12296" width="16.109375" bestFit="1" customWidth="1"/>
    <col min="12545" max="12545" width="13.33203125" bestFit="1" customWidth="1"/>
    <col min="12547" max="12547" width="17.33203125" customWidth="1"/>
    <col min="12548" max="12548" width="13.88671875" bestFit="1" customWidth="1"/>
    <col min="12549" max="12550" width="15.6640625" customWidth="1"/>
    <col min="12551" max="12551" width="13.88671875" bestFit="1" customWidth="1"/>
    <col min="12552" max="12552" width="16.109375" bestFit="1" customWidth="1"/>
    <col min="12801" max="12801" width="13.33203125" bestFit="1" customWidth="1"/>
    <col min="12803" max="12803" width="17.33203125" customWidth="1"/>
    <col min="12804" max="12804" width="13.88671875" bestFit="1" customWidth="1"/>
    <col min="12805" max="12806" width="15.6640625" customWidth="1"/>
    <col min="12807" max="12807" width="13.88671875" bestFit="1" customWidth="1"/>
    <col min="12808" max="12808" width="16.109375" bestFit="1" customWidth="1"/>
    <col min="13057" max="13057" width="13.33203125" bestFit="1" customWidth="1"/>
    <col min="13059" max="13059" width="17.33203125" customWidth="1"/>
    <col min="13060" max="13060" width="13.88671875" bestFit="1" customWidth="1"/>
    <col min="13061" max="13062" width="15.6640625" customWidth="1"/>
    <col min="13063" max="13063" width="13.88671875" bestFit="1" customWidth="1"/>
    <col min="13064" max="13064" width="16.109375" bestFit="1" customWidth="1"/>
    <col min="13313" max="13313" width="13.33203125" bestFit="1" customWidth="1"/>
    <col min="13315" max="13315" width="17.33203125" customWidth="1"/>
    <col min="13316" max="13316" width="13.88671875" bestFit="1" customWidth="1"/>
    <col min="13317" max="13318" width="15.6640625" customWidth="1"/>
    <col min="13319" max="13319" width="13.88671875" bestFit="1" customWidth="1"/>
    <col min="13320" max="13320" width="16.109375" bestFit="1" customWidth="1"/>
    <col min="13569" max="13569" width="13.33203125" bestFit="1" customWidth="1"/>
    <col min="13571" max="13571" width="17.33203125" customWidth="1"/>
    <col min="13572" max="13572" width="13.88671875" bestFit="1" customWidth="1"/>
    <col min="13573" max="13574" width="15.6640625" customWidth="1"/>
    <col min="13575" max="13575" width="13.88671875" bestFit="1" customWidth="1"/>
    <col min="13576" max="13576" width="16.109375" bestFit="1" customWidth="1"/>
    <col min="13825" max="13825" width="13.33203125" bestFit="1" customWidth="1"/>
    <col min="13827" max="13827" width="17.33203125" customWidth="1"/>
    <col min="13828" max="13828" width="13.88671875" bestFit="1" customWidth="1"/>
    <col min="13829" max="13830" width="15.6640625" customWidth="1"/>
    <col min="13831" max="13831" width="13.88671875" bestFit="1" customWidth="1"/>
    <col min="13832" max="13832" width="16.109375" bestFit="1" customWidth="1"/>
    <col min="14081" max="14081" width="13.33203125" bestFit="1" customWidth="1"/>
    <col min="14083" max="14083" width="17.33203125" customWidth="1"/>
    <col min="14084" max="14084" width="13.88671875" bestFit="1" customWidth="1"/>
    <col min="14085" max="14086" width="15.6640625" customWidth="1"/>
    <col min="14087" max="14087" width="13.88671875" bestFit="1" customWidth="1"/>
    <col min="14088" max="14088" width="16.109375" bestFit="1" customWidth="1"/>
    <col min="14337" max="14337" width="13.33203125" bestFit="1" customWidth="1"/>
    <col min="14339" max="14339" width="17.33203125" customWidth="1"/>
    <col min="14340" max="14340" width="13.88671875" bestFit="1" customWidth="1"/>
    <col min="14341" max="14342" width="15.6640625" customWidth="1"/>
    <col min="14343" max="14343" width="13.88671875" bestFit="1" customWidth="1"/>
    <col min="14344" max="14344" width="16.109375" bestFit="1" customWidth="1"/>
    <col min="14593" max="14593" width="13.33203125" bestFit="1" customWidth="1"/>
    <col min="14595" max="14595" width="17.33203125" customWidth="1"/>
    <col min="14596" max="14596" width="13.88671875" bestFit="1" customWidth="1"/>
    <col min="14597" max="14598" width="15.6640625" customWidth="1"/>
    <col min="14599" max="14599" width="13.88671875" bestFit="1" customWidth="1"/>
    <col min="14600" max="14600" width="16.109375" bestFit="1" customWidth="1"/>
    <col min="14849" max="14849" width="13.33203125" bestFit="1" customWidth="1"/>
    <col min="14851" max="14851" width="17.33203125" customWidth="1"/>
    <col min="14852" max="14852" width="13.88671875" bestFit="1" customWidth="1"/>
    <col min="14853" max="14854" width="15.6640625" customWidth="1"/>
    <col min="14855" max="14855" width="13.88671875" bestFit="1" customWidth="1"/>
    <col min="14856" max="14856" width="16.109375" bestFit="1" customWidth="1"/>
    <col min="15105" max="15105" width="13.33203125" bestFit="1" customWidth="1"/>
    <col min="15107" max="15107" width="17.33203125" customWidth="1"/>
    <col min="15108" max="15108" width="13.88671875" bestFit="1" customWidth="1"/>
    <col min="15109" max="15110" width="15.6640625" customWidth="1"/>
    <col min="15111" max="15111" width="13.88671875" bestFit="1" customWidth="1"/>
    <col min="15112" max="15112" width="16.109375" bestFit="1" customWidth="1"/>
    <col min="15361" max="15361" width="13.33203125" bestFit="1" customWidth="1"/>
    <col min="15363" max="15363" width="17.33203125" customWidth="1"/>
    <col min="15364" max="15364" width="13.88671875" bestFit="1" customWidth="1"/>
    <col min="15365" max="15366" width="15.6640625" customWidth="1"/>
    <col min="15367" max="15367" width="13.88671875" bestFit="1" customWidth="1"/>
    <col min="15368" max="15368" width="16.109375" bestFit="1" customWidth="1"/>
    <col min="15617" max="15617" width="13.33203125" bestFit="1" customWidth="1"/>
    <col min="15619" max="15619" width="17.33203125" customWidth="1"/>
    <col min="15620" max="15620" width="13.88671875" bestFit="1" customWidth="1"/>
    <col min="15621" max="15622" width="15.6640625" customWidth="1"/>
    <col min="15623" max="15623" width="13.88671875" bestFit="1" customWidth="1"/>
    <col min="15624" max="15624" width="16.109375" bestFit="1" customWidth="1"/>
    <col min="15873" max="15873" width="13.33203125" bestFit="1" customWidth="1"/>
    <col min="15875" max="15875" width="17.33203125" customWidth="1"/>
    <col min="15876" max="15876" width="13.88671875" bestFit="1" customWidth="1"/>
    <col min="15877" max="15878" width="15.6640625" customWidth="1"/>
    <col min="15879" max="15879" width="13.88671875" bestFit="1" customWidth="1"/>
    <col min="15880" max="15880" width="16.109375" bestFit="1" customWidth="1"/>
    <col min="16129" max="16129" width="13.33203125" bestFit="1" customWidth="1"/>
    <col min="16131" max="16131" width="17.33203125" customWidth="1"/>
    <col min="16132" max="16132" width="13.88671875" bestFit="1" customWidth="1"/>
    <col min="16133" max="16134" width="15.6640625" customWidth="1"/>
    <col min="16135" max="16135" width="13.88671875" bestFit="1" customWidth="1"/>
    <col min="16136" max="16136" width="16.109375" bestFit="1" customWidth="1"/>
  </cols>
  <sheetData>
    <row r="1" spans="1:8" x14ac:dyDescent="0.3">
      <c r="A1" s="1" t="s">
        <v>97</v>
      </c>
      <c r="B1" s="1">
        <v>-175</v>
      </c>
    </row>
    <row r="2" spans="1:8" x14ac:dyDescent="0.3">
      <c r="A2" s="1" t="s">
        <v>113</v>
      </c>
      <c r="B2" s="1">
        <v>0.1</v>
      </c>
    </row>
    <row r="3" spans="1:8" x14ac:dyDescent="0.3">
      <c r="A3" s="1" t="s">
        <v>39</v>
      </c>
      <c r="B3" s="1">
        <v>12</v>
      </c>
    </row>
    <row r="4" spans="1:8" x14ac:dyDescent="0.3">
      <c r="A4" s="1" t="s">
        <v>96</v>
      </c>
      <c r="B4" s="2">
        <f>B2/B3</f>
        <v>8.3333333333333332E-3</v>
      </c>
      <c r="D4" s="1" t="s">
        <v>99</v>
      </c>
    </row>
    <row r="5" spans="1:8" x14ac:dyDescent="0.3">
      <c r="A5" s="1" t="s">
        <v>95</v>
      </c>
      <c r="B5" s="1">
        <v>50000</v>
      </c>
      <c r="D5" s="9">
        <f>FV(B2/B3,NPER(B2/B3,B1,,B5),B1)</f>
        <v>50000</v>
      </c>
    </row>
    <row r="6" spans="1:8" x14ac:dyDescent="0.3">
      <c r="A6" s="1" t="s">
        <v>202</v>
      </c>
      <c r="B6" s="42">
        <f>NPER(B4,B1,,B5)</f>
        <v>146.78712900140803</v>
      </c>
      <c r="C6" t="s">
        <v>185</v>
      </c>
      <c r="G6" t="s">
        <v>200</v>
      </c>
      <c r="H6" t="s">
        <v>201</v>
      </c>
    </row>
    <row r="7" spans="1:8" x14ac:dyDescent="0.3">
      <c r="A7" s="1" t="s">
        <v>203</v>
      </c>
      <c r="B7" s="42">
        <f>B6/12</f>
        <v>12.232260750117335</v>
      </c>
      <c r="C7" s="1" t="s">
        <v>204</v>
      </c>
      <c r="G7" t="e">
        <f>LN(B6/B1*B3/B4+1)/LN(1+B5)</f>
        <v>#NUM!</v>
      </c>
      <c r="H7" s="7" t="e">
        <f>FV(B5,G7,-B1,,B2)</f>
        <v>#NUM!</v>
      </c>
    </row>
  </sheetData>
  <pageMargins left="0.75" right="0.75" top="1" bottom="1" header="0.5" footer="0.5"/>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D13"/>
  <sheetViews>
    <sheetView zoomScale="130" workbookViewId="0">
      <selection activeCell="B15" sqref="B15"/>
    </sheetView>
  </sheetViews>
  <sheetFormatPr defaultRowHeight="14.4" x14ac:dyDescent="0.3"/>
  <cols>
    <col min="1" max="1" width="13.33203125" bestFit="1" customWidth="1"/>
    <col min="2" max="2" width="14.6640625" bestFit="1" customWidth="1"/>
    <col min="4" max="4" width="9.88671875" bestFit="1" customWidth="1"/>
    <col min="257" max="257" width="13.33203125" bestFit="1" customWidth="1"/>
    <col min="258" max="258" width="14.6640625" bestFit="1" customWidth="1"/>
    <col min="260" max="260" width="9.88671875" bestFit="1" customWidth="1"/>
    <col min="513" max="513" width="13.33203125" bestFit="1" customWidth="1"/>
    <col min="514" max="514" width="14.6640625" bestFit="1" customWidth="1"/>
    <col min="516" max="516" width="9.88671875" bestFit="1" customWidth="1"/>
    <col min="769" max="769" width="13.33203125" bestFit="1" customWidth="1"/>
    <col min="770" max="770" width="14.6640625" bestFit="1" customWidth="1"/>
    <col min="772" max="772" width="9.88671875" bestFit="1" customWidth="1"/>
    <col min="1025" max="1025" width="13.33203125" bestFit="1" customWidth="1"/>
    <col min="1026" max="1026" width="14.6640625" bestFit="1" customWidth="1"/>
    <col min="1028" max="1028" width="9.88671875" bestFit="1" customWidth="1"/>
    <col min="1281" max="1281" width="13.33203125" bestFit="1" customWidth="1"/>
    <col min="1282" max="1282" width="14.6640625" bestFit="1" customWidth="1"/>
    <col min="1284" max="1284" width="9.88671875" bestFit="1" customWidth="1"/>
    <col min="1537" max="1537" width="13.33203125" bestFit="1" customWidth="1"/>
    <col min="1538" max="1538" width="14.6640625" bestFit="1" customWidth="1"/>
    <col min="1540" max="1540" width="9.88671875" bestFit="1" customWidth="1"/>
    <col min="1793" max="1793" width="13.33203125" bestFit="1" customWidth="1"/>
    <col min="1794" max="1794" width="14.6640625" bestFit="1" customWidth="1"/>
    <col min="1796" max="1796" width="9.88671875" bestFit="1" customWidth="1"/>
    <col min="2049" max="2049" width="13.33203125" bestFit="1" customWidth="1"/>
    <col min="2050" max="2050" width="14.6640625" bestFit="1" customWidth="1"/>
    <col min="2052" max="2052" width="9.88671875" bestFit="1" customWidth="1"/>
    <col min="2305" max="2305" width="13.33203125" bestFit="1" customWidth="1"/>
    <col min="2306" max="2306" width="14.6640625" bestFit="1" customWidth="1"/>
    <col min="2308" max="2308" width="9.88671875" bestFit="1" customWidth="1"/>
    <col min="2561" max="2561" width="13.33203125" bestFit="1" customWidth="1"/>
    <col min="2562" max="2562" width="14.6640625" bestFit="1" customWidth="1"/>
    <col min="2564" max="2564" width="9.88671875" bestFit="1" customWidth="1"/>
    <col min="2817" max="2817" width="13.33203125" bestFit="1" customWidth="1"/>
    <col min="2818" max="2818" width="14.6640625" bestFit="1" customWidth="1"/>
    <col min="2820" max="2820" width="9.88671875" bestFit="1" customWidth="1"/>
    <col min="3073" max="3073" width="13.33203125" bestFit="1" customWidth="1"/>
    <col min="3074" max="3074" width="14.6640625" bestFit="1" customWidth="1"/>
    <col min="3076" max="3076" width="9.88671875" bestFit="1" customWidth="1"/>
    <col min="3329" max="3329" width="13.33203125" bestFit="1" customWidth="1"/>
    <col min="3330" max="3330" width="14.6640625" bestFit="1" customWidth="1"/>
    <col min="3332" max="3332" width="9.88671875" bestFit="1" customWidth="1"/>
    <col min="3585" max="3585" width="13.33203125" bestFit="1" customWidth="1"/>
    <col min="3586" max="3586" width="14.6640625" bestFit="1" customWidth="1"/>
    <col min="3588" max="3588" width="9.88671875" bestFit="1" customWidth="1"/>
    <col min="3841" max="3841" width="13.33203125" bestFit="1" customWidth="1"/>
    <col min="3842" max="3842" width="14.6640625" bestFit="1" customWidth="1"/>
    <col min="3844" max="3844" width="9.88671875" bestFit="1" customWidth="1"/>
    <col min="4097" max="4097" width="13.33203125" bestFit="1" customWidth="1"/>
    <col min="4098" max="4098" width="14.6640625" bestFit="1" customWidth="1"/>
    <col min="4100" max="4100" width="9.88671875" bestFit="1" customWidth="1"/>
    <col min="4353" max="4353" width="13.33203125" bestFit="1" customWidth="1"/>
    <col min="4354" max="4354" width="14.6640625" bestFit="1" customWidth="1"/>
    <col min="4356" max="4356" width="9.88671875" bestFit="1" customWidth="1"/>
    <col min="4609" max="4609" width="13.33203125" bestFit="1" customWidth="1"/>
    <col min="4610" max="4610" width="14.6640625" bestFit="1" customWidth="1"/>
    <col min="4612" max="4612" width="9.88671875" bestFit="1" customWidth="1"/>
    <col min="4865" max="4865" width="13.33203125" bestFit="1" customWidth="1"/>
    <col min="4866" max="4866" width="14.6640625" bestFit="1" customWidth="1"/>
    <col min="4868" max="4868" width="9.88671875" bestFit="1" customWidth="1"/>
    <col min="5121" max="5121" width="13.33203125" bestFit="1" customWidth="1"/>
    <col min="5122" max="5122" width="14.6640625" bestFit="1" customWidth="1"/>
    <col min="5124" max="5124" width="9.88671875" bestFit="1" customWidth="1"/>
    <col min="5377" max="5377" width="13.33203125" bestFit="1" customWidth="1"/>
    <col min="5378" max="5378" width="14.6640625" bestFit="1" customWidth="1"/>
    <col min="5380" max="5380" width="9.88671875" bestFit="1" customWidth="1"/>
    <col min="5633" max="5633" width="13.33203125" bestFit="1" customWidth="1"/>
    <col min="5634" max="5634" width="14.6640625" bestFit="1" customWidth="1"/>
    <col min="5636" max="5636" width="9.88671875" bestFit="1" customWidth="1"/>
    <col min="5889" max="5889" width="13.33203125" bestFit="1" customWidth="1"/>
    <col min="5890" max="5890" width="14.6640625" bestFit="1" customWidth="1"/>
    <col min="5892" max="5892" width="9.88671875" bestFit="1" customWidth="1"/>
    <col min="6145" max="6145" width="13.33203125" bestFit="1" customWidth="1"/>
    <col min="6146" max="6146" width="14.6640625" bestFit="1" customWidth="1"/>
    <col min="6148" max="6148" width="9.88671875" bestFit="1" customWidth="1"/>
    <col min="6401" max="6401" width="13.33203125" bestFit="1" customWidth="1"/>
    <col min="6402" max="6402" width="14.6640625" bestFit="1" customWidth="1"/>
    <col min="6404" max="6404" width="9.88671875" bestFit="1" customWidth="1"/>
    <col min="6657" max="6657" width="13.33203125" bestFit="1" customWidth="1"/>
    <col min="6658" max="6658" width="14.6640625" bestFit="1" customWidth="1"/>
    <col min="6660" max="6660" width="9.88671875" bestFit="1" customWidth="1"/>
    <col min="6913" max="6913" width="13.33203125" bestFit="1" customWidth="1"/>
    <col min="6914" max="6914" width="14.6640625" bestFit="1" customWidth="1"/>
    <col min="6916" max="6916" width="9.88671875" bestFit="1" customWidth="1"/>
    <col min="7169" max="7169" width="13.33203125" bestFit="1" customWidth="1"/>
    <col min="7170" max="7170" width="14.6640625" bestFit="1" customWidth="1"/>
    <col min="7172" max="7172" width="9.88671875" bestFit="1" customWidth="1"/>
    <col min="7425" max="7425" width="13.33203125" bestFit="1" customWidth="1"/>
    <col min="7426" max="7426" width="14.6640625" bestFit="1" customWidth="1"/>
    <col min="7428" max="7428" width="9.88671875" bestFit="1" customWidth="1"/>
    <col min="7681" max="7681" width="13.33203125" bestFit="1" customWidth="1"/>
    <col min="7682" max="7682" width="14.6640625" bestFit="1" customWidth="1"/>
    <col min="7684" max="7684" width="9.88671875" bestFit="1" customWidth="1"/>
    <col min="7937" max="7937" width="13.33203125" bestFit="1" customWidth="1"/>
    <col min="7938" max="7938" width="14.6640625" bestFit="1" customWidth="1"/>
    <col min="7940" max="7940" width="9.88671875" bestFit="1" customWidth="1"/>
    <col min="8193" max="8193" width="13.33203125" bestFit="1" customWidth="1"/>
    <col min="8194" max="8194" width="14.6640625" bestFit="1" customWidth="1"/>
    <col min="8196" max="8196" width="9.88671875" bestFit="1" customWidth="1"/>
    <col min="8449" max="8449" width="13.33203125" bestFit="1" customWidth="1"/>
    <col min="8450" max="8450" width="14.6640625" bestFit="1" customWidth="1"/>
    <col min="8452" max="8452" width="9.88671875" bestFit="1" customWidth="1"/>
    <col min="8705" max="8705" width="13.33203125" bestFit="1" customWidth="1"/>
    <col min="8706" max="8706" width="14.6640625" bestFit="1" customWidth="1"/>
    <col min="8708" max="8708" width="9.88671875" bestFit="1" customWidth="1"/>
    <col min="8961" max="8961" width="13.33203125" bestFit="1" customWidth="1"/>
    <col min="8962" max="8962" width="14.6640625" bestFit="1" customWidth="1"/>
    <col min="8964" max="8964" width="9.88671875" bestFit="1" customWidth="1"/>
    <col min="9217" max="9217" width="13.33203125" bestFit="1" customWidth="1"/>
    <col min="9218" max="9218" width="14.6640625" bestFit="1" customWidth="1"/>
    <col min="9220" max="9220" width="9.88671875" bestFit="1" customWidth="1"/>
    <col min="9473" max="9473" width="13.33203125" bestFit="1" customWidth="1"/>
    <col min="9474" max="9474" width="14.6640625" bestFit="1" customWidth="1"/>
    <col min="9476" max="9476" width="9.88671875" bestFit="1" customWidth="1"/>
    <col min="9729" max="9729" width="13.33203125" bestFit="1" customWidth="1"/>
    <col min="9730" max="9730" width="14.6640625" bestFit="1" customWidth="1"/>
    <col min="9732" max="9732" width="9.88671875" bestFit="1" customWidth="1"/>
    <col min="9985" max="9985" width="13.33203125" bestFit="1" customWidth="1"/>
    <col min="9986" max="9986" width="14.6640625" bestFit="1" customWidth="1"/>
    <col min="9988" max="9988" width="9.88671875" bestFit="1" customWidth="1"/>
    <col min="10241" max="10241" width="13.33203125" bestFit="1" customWidth="1"/>
    <col min="10242" max="10242" width="14.6640625" bestFit="1" customWidth="1"/>
    <col min="10244" max="10244" width="9.88671875" bestFit="1" customWidth="1"/>
    <col min="10497" max="10497" width="13.33203125" bestFit="1" customWidth="1"/>
    <col min="10498" max="10498" width="14.6640625" bestFit="1" customWidth="1"/>
    <col min="10500" max="10500" width="9.88671875" bestFit="1" customWidth="1"/>
    <col min="10753" max="10753" width="13.33203125" bestFit="1" customWidth="1"/>
    <col min="10754" max="10754" width="14.6640625" bestFit="1" customWidth="1"/>
    <col min="10756" max="10756" width="9.88671875" bestFit="1" customWidth="1"/>
    <col min="11009" max="11009" width="13.33203125" bestFit="1" customWidth="1"/>
    <col min="11010" max="11010" width="14.6640625" bestFit="1" customWidth="1"/>
    <col min="11012" max="11012" width="9.88671875" bestFit="1" customWidth="1"/>
    <col min="11265" max="11265" width="13.33203125" bestFit="1" customWidth="1"/>
    <col min="11266" max="11266" width="14.6640625" bestFit="1" customWidth="1"/>
    <col min="11268" max="11268" width="9.88671875" bestFit="1" customWidth="1"/>
    <col min="11521" max="11521" width="13.33203125" bestFit="1" customWidth="1"/>
    <col min="11522" max="11522" width="14.6640625" bestFit="1" customWidth="1"/>
    <col min="11524" max="11524" width="9.88671875" bestFit="1" customWidth="1"/>
    <col min="11777" max="11777" width="13.33203125" bestFit="1" customWidth="1"/>
    <col min="11778" max="11778" width="14.6640625" bestFit="1" customWidth="1"/>
    <col min="11780" max="11780" width="9.88671875" bestFit="1" customWidth="1"/>
    <col min="12033" max="12033" width="13.33203125" bestFit="1" customWidth="1"/>
    <col min="12034" max="12034" width="14.6640625" bestFit="1" customWidth="1"/>
    <col min="12036" max="12036" width="9.88671875" bestFit="1" customWidth="1"/>
    <col min="12289" max="12289" width="13.33203125" bestFit="1" customWidth="1"/>
    <col min="12290" max="12290" width="14.6640625" bestFit="1" customWidth="1"/>
    <col min="12292" max="12292" width="9.88671875" bestFit="1" customWidth="1"/>
    <col min="12545" max="12545" width="13.33203125" bestFit="1" customWidth="1"/>
    <col min="12546" max="12546" width="14.6640625" bestFit="1" customWidth="1"/>
    <col min="12548" max="12548" width="9.88671875" bestFit="1" customWidth="1"/>
    <col min="12801" max="12801" width="13.33203125" bestFit="1" customWidth="1"/>
    <col min="12802" max="12802" width="14.6640625" bestFit="1" customWidth="1"/>
    <col min="12804" max="12804" width="9.88671875" bestFit="1" customWidth="1"/>
    <col min="13057" max="13057" width="13.33203125" bestFit="1" customWidth="1"/>
    <col min="13058" max="13058" width="14.6640625" bestFit="1" customWidth="1"/>
    <col min="13060" max="13060" width="9.88671875" bestFit="1" customWidth="1"/>
    <col min="13313" max="13313" width="13.33203125" bestFit="1" customWidth="1"/>
    <col min="13314" max="13314" width="14.6640625" bestFit="1" customWidth="1"/>
    <col min="13316" max="13316" width="9.88671875" bestFit="1" customWidth="1"/>
    <col min="13569" max="13569" width="13.33203125" bestFit="1" customWidth="1"/>
    <col min="13570" max="13570" width="14.6640625" bestFit="1" customWidth="1"/>
    <col min="13572" max="13572" width="9.88671875" bestFit="1" customWidth="1"/>
    <col min="13825" max="13825" width="13.33203125" bestFit="1" customWidth="1"/>
    <col min="13826" max="13826" width="14.6640625" bestFit="1" customWidth="1"/>
    <col min="13828" max="13828" width="9.88671875" bestFit="1" customWidth="1"/>
    <col min="14081" max="14081" width="13.33203125" bestFit="1" customWidth="1"/>
    <col min="14082" max="14082" width="14.6640625" bestFit="1" customWidth="1"/>
    <col min="14084" max="14084" width="9.88671875" bestFit="1" customWidth="1"/>
    <col min="14337" max="14337" width="13.33203125" bestFit="1" customWidth="1"/>
    <col min="14338" max="14338" width="14.6640625" bestFit="1" customWidth="1"/>
    <col min="14340" max="14340" width="9.88671875" bestFit="1" customWidth="1"/>
    <col min="14593" max="14593" width="13.33203125" bestFit="1" customWidth="1"/>
    <col min="14594" max="14594" width="14.6640625" bestFit="1" customWidth="1"/>
    <col min="14596" max="14596" width="9.88671875" bestFit="1" customWidth="1"/>
    <col min="14849" max="14849" width="13.33203125" bestFit="1" customWidth="1"/>
    <col min="14850" max="14850" width="14.6640625" bestFit="1" customWidth="1"/>
    <col min="14852" max="14852" width="9.88671875" bestFit="1" customWidth="1"/>
    <col min="15105" max="15105" width="13.33203125" bestFit="1" customWidth="1"/>
    <col min="15106" max="15106" width="14.6640625" bestFit="1" customWidth="1"/>
    <col min="15108" max="15108" width="9.88671875" bestFit="1" customWidth="1"/>
    <col min="15361" max="15361" width="13.33203125" bestFit="1" customWidth="1"/>
    <col min="15362" max="15362" width="14.6640625" bestFit="1" customWidth="1"/>
    <col min="15364" max="15364" width="9.88671875" bestFit="1" customWidth="1"/>
    <col min="15617" max="15617" width="13.33203125" bestFit="1" customWidth="1"/>
    <col min="15618" max="15618" width="14.6640625" bestFit="1" customWidth="1"/>
    <col min="15620" max="15620" width="9.88671875" bestFit="1" customWidth="1"/>
    <col min="15873" max="15873" width="13.33203125" bestFit="1" customWidth="1"/>
    <col min="15874" max="15874" width="14.6640625" bestFit="1" customWidth="1"/>
    <col min="15876" max="15876" width="9.88671875" bestFit="1" customWidth="1"/>
    <col min="16129" max="16129" width="13.33203125" bestFit="1" customWidth="1"/>
    <col min="16130" max="16130" width="14.6640625" bestFit="1" customWidth="1"/>
    <col min="16132" max="16132" width="9.88671875" bestFit="1" customWidth="1"/>
  </cols>
  <sheetData>
    <row r="1" spans="1:4" x14ac:dyDescent="0.3">
      <c r="A1" s="1" t="s">
        <v>205</v>
      </c>
      <c r="B1" s="1" t="s">
        <v>206</v>
      </c>
    </row>
    <row r="2" spans="1:4" x14ac:dyDescent="0.3">
      <c r="A2" s="1" t="s">
        <v>207</v>
      </c>
      <c r="B2" s="21">
        <v>3200000</v>
      </c>
    </row>
    <row r="3" spans="1:4" x14ac:dyDescent="0.3">
      <c r="A3" s="1" t="s">
        <v>208</v>
      </c>
      <c r="B3" s="45">
        <v>0.8</v>
      </c>
    </row>
    <row r="4" spans="1:4" x14ac:dyDescent="0.3">
      <c r="A4" s="1" t="s">
        <v>209</v>
      </c>
      <c r="B4" s="30"/>
    </row>
    <row r="5" spans="1:4" x14ac:dyDescent="0.3">
      <c r="A5" s="1" t="s">
        <v>77</v>
      </c>
      <c r="B5" s="1">
        <v>30</v>
      </c>
    </row>
    <row r="6" spans="1:4" x14ac:dyDescent="0.3">
      <c r="A6" s="1" t="s">
        <v>39</v>
      </c>
      <c r="B6" s="1">
        <v>12</v>
      </c>
    </row>
    <row r="7" spans="1:4" x14ac:dyDescent="0.3">
      <c r="A7" s="1" t="s">
        <v>196</v>
      </c>
      <c r="B7" s="2"/>
    </row>
    <row r="8" spans="1:4" x14ac:dyDescent="0.3">
      <c r="A8" s="1" t="s">
        <v>97</v>
      </c>
      <c r="B8" s="9">
        <v>-15300</v>
      </c>
      <c r="D8" s="1" t="s">
        <v>210</v>
      </c>
    </row>
    <row r="9" spans="1:4" x14ac:dyDescent="0.3">
      <c r="A9" s="1" t="s">
        <v>211</v>
      </c>
      <c r="B9" s="53"/>
      <c r="D9" t="s">
        <v>212</v>
      </c>
    </row>
    <row r="10" spans="1:4" x14ac:dyDescent="0.3">
      <c r="A10" s="1" t="s">
        <v>70</v>
      </c>
      <c r="B10" s="42"/>
      <c r="D10" t="s">
        <v>213</v>
      </c>
    </row>
    <row r="11" spans="1:4" x14ac:dyDescent="0.3">
      <c r="A11" s="1" t="s">
        <v>71</v>
      </c>
      <c r="B11" s="42"/>
      <c r="D11" t="s">
        <v>214</v>
      </c>
    </row>
    <row r="12" spans="1:4" x14ac:dyDescent="0.3">
      <c r="D12" s="1" t="s">
        <v>88</v>
      </c>
    </row>
    <row r="13" spans="1:4" x14ac:dyDescent="0.3">
      <c r="D13" s="119"/>
    </row>
  </sheetData>
  <pageMargins left="0.75" right="0.75" top="1" bottom="1" header="0.5" footer="0.5"/>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13"/>
  <sheetViews>
    <sheetView zoomScale="130" workbookViewId="0">
      <selection activeCell="B15" sqref="B15"/>
    </sheetView>
  </sheetViews>
  <sheetFormatPr defaultRowHeight="14.4" x14ac:dyDescent="0.3"/>
  <cols>
    <col min="1" max="1" width="13.33203125" bestFit="1" customWidth="1"/>
    <col min="2" max="2" width="14.6640625" bestFit="1" customWidth="1"/>
    <col min="4" max="4" width="20.5546875" customWidth="1"/>
    <col min="257" max="257" width="13.33203125" bestFit="1" customWidth="1"/>
    <col min="258" max="258" width="14.6640625" bestFit="1" customWidth="1"/>
    <col min="260" max="260" width="20.5546875" customWidth="1"/>
    <col min="513" max="513" width="13.33203125" bestFit="1" customWidth="1"/>
    <col min="514" max="514" width="14.6640625" bestFit="1" customWidth="1"/>
    <col min="516" max="516" width="20.5546875" customWidth="1"/>
    <col min="769" max="769" width="13.33203125" bestFit="1" customWidth="1"/>
    <col min="770" max="770" width="14.6640625" bestFit="1" customWidth="1"/>
    <col min="772" max="772" width="20.5546875" customWidth="1"/>
    <col min="1025" max="1025" width="13.33203125" bestFit="1" customWidth="1"/>
    <col min="1026" max="1026" width="14.6640625" bestFit="1" customWidth="1"/>
    <col min="1028" max="1028" width="20.5546875" customWidth="1"/>
    <col min="1281" max="1281" width="13.33203125" bestFit="1" customWidth="1"/>
    <col min="1282" max="1282" width="14.6640625" bestFit="1" customWidth="1"/>
    <col min="1284" max="1284" width="20.5546875" customWidth="1"/>
    <col min="1537" max="1537" width="13.33203125" bestFit="1" customWidth="1"/>
    <col min="1538" max="1538" width="14.6640625" bestFit="1" customWidth="1"/>
    <col min="1540" max="1540" width="20.5546875" customWidth="1"/>
    <col min="1793" max="1793" width="13.33203125" bestFit="1" customWidth="1"/>
    <col min="1794" max="1794" width="14.6640625" bestFit="1" customWidth="1"/>
    <col min="1796" max="1796" width="20.5546875" customWidth="1"/>
    <col min="2049" max="2049" width="13.33203125" bestFit="1" customWidth="1"/>
    <col min="2050" max="2050" width="14.6640625" bestFit="1" customWidth="1"/>
    <col min="2052" max="2052" width="20.5546875" customWidth="1"/>
    <col min="2305" max="2305" width="13.33203125" bestFit="1" customWidth="1"/>
    <col min="2306" max="2306" width="14.6640625" bestFit="1" customWidth="1"/>
    <col min="2308" max="2308" width="20.5546875" customWidth="1"/>
    <col min="2561" max="2561" width="13.33203125" bestFit="1" customWidth="1"/>
    <col min="2562" max="2562" width="14.6640625" bestFit="1" customWidth="1"/>
    <col min="2564" max="2564" width="20.5546875" customWidth="1"/>
    <col min="2817" max="2817" width="13.33203125" bestFit="1" customWidth="1"/>
    <col min="2818" max="2818" width="14.6640625" bestFit="1" customWidth="1"/>
    <col min="2820" max="2820" width="20.5546875" customWidth="1"/>
    <col min="3073" max="3073" width="13.33203125" bestFit="1" customWidth="1"/>
    <col min="3074" max="3074" width="14.6640625" bestFit="1" customWidth="1"/>
    <col min="3076" max="3076" width="20.5546875" customWidth="1"/>
    <col min="3329" max="3329" width="13.33203125" bestFit="1" customWidth="1"/>
    <col min="3330" max="3330" width="14.6640625" bestFit="1" customWidth="1"/>
    <col min="3332" max="3332" width="20.5546875" customWidth="1"/>
    <col min="3585" max="3585" width="13.33203125" bestFit="1" customWidth="1"/>
    <col min="3586" max="3586" width="14.6640625" bestFit="1" customWidth="1"/>
    <col min="3588" max="3588" width="20.5546875" customWidth="1"/>
    <col min="3841" max="3841" width="13.33203125" bestFit="1" customWidth="1"/>
    <col min="3842" max="3842" width="14.6640625" bestFit="1" customWidth="1"/>
    <col min="3844" max="3844" width="20.5546875" customWidth="1"/>
    <col min="4097" max="4097" width="13.33203125" bestFit="1" customWidth="1"/>
    <col min="4098" max="4098" width="14.6640625" bestFit="1" customWidth="1"/>
    <col min="4100" max="4100" width="20.5546875" customWidth="1"/>
    <col min="4353" max="4353" width="13.33203125" bestFit="1" customWidth="1"/>
    <col min="4354" max="4354" width="14.6640625" bestFit="1" customWidth="1"/>
    <col min="4356" max="4356" width="20.5546875" customWidth="1"/>
    <col min="4609" max="4609" width="13.33203125" bestFit="1" customWidth="1"/>
    <col min="4610" max="4610" width="14.6640625" bestFit="1" customWidth="1"/>
    <col min="4612" max="4612" width="20.5546875" customWidth="1"/>
    <col min="4865" max="4865" width="13.33203125" bestFit="1" customWidth="1"/>
    <col min="4866" max="4866" width="14.6640625" bestFit="1" customWidth="1"/>
    <col min="4868" max="4868" width="20.5546875" customWidth="1"/>
    <col min="5121" max="5121" width="13.33203125" bestFit="1" customWidth="1"/>
    <col min="5122" max="5122" width="14.6640625" bestFit="1" customWidth="1"/>
    <col min="5124" max="5124" width="20.5546875" customWidth="1"/>
    <col min="5377" max="5377" width="13.33203125" bestFit="1" customWidth="1"/>
    <col min="5378" max="5378" width="14.6640625" bestFit="1" customWidth="1"/>
    <col min="5380" max="5380" width="20.5546875" customWidth="1"/>
    <col min="5633" max="5633" width="13.33203125" bestFit="1" customWidth="1"/>
    <col min="5634" max="5634" width="14.6640625" bestFit="1" customWidth="1"/>
    <col min="5636" max="5636" width="20.5546875" customWidth="1"/>
    <col min="5889" max="5889" width="13.33203125" bestFit="1" customWidth="1"/>
    <col min="5890" max="5890" width="14.6640625" bestFit="1" customWidth="1"/>
    <col min="5892" max="5892" width="20.5546875" customWidth="1"/>
    <col min="6145" max="6145" width="13.33203125" bestFit="1" customWidth="1"/>
    <col min="6146" max="6146" width="14.6640625" bestFit="1" customWidth="1"/>
    <col min="6148" max="6148" width="20.5546875" customWidth="1"/>
    <col min="6401" max="6401" width="13.33203125" bestFit="1" customWidth="1"/>
    <col min="6402" max="6402" width="14.6640625" bestFit="1" customWidth="1"/>
    <col min="6404" max="6404" width="20.5546875" customWidth="1"/>
    <col min="6657" max="6657" width="13.33203125" bestFit="1" customWidth="1"/>
    <col min="6658" max="6658" width="14.6640625" bestFit="1" customWidth="1"/>
    <col min="6660" max="6660" width="20.5546875" customWidth="1"/>
    <col min="6913" max="6913" width="13.33203125" bestFit="1" customWidth="1"/>
    <col min="6914" max="6914" width="14.6640625" bestFit="1" customWidth="1"/>
    <col min="6916" max="6916" width="20.5546875" customWidth="1"/>
    <col min="7169" max="7169" width="13.33203125" bestFit="1" customWidth="1"/>
    <col min="7170" max="7170" width="14.6640625" bestFit="1" customWidth="1"/>
    <col min="7172" max="7172" width="20.5546875" customWidth="1"/>
    <col min="7425" max="7425" width="13.33203125" bestFit="1" customWidth="1"/>
    <col min="7426" max="7426" width="14.6640625" bestFit="1" customWidth="1"/>
    <col min="7428" max="7428" width="20.5546875" customWidth="1"/>
    <col min="7681" max="7681" width="13.33203125" bestFit="1" customWidth="1"/>
    <col min="7682" max="7682" width="14.6640625" bestFit="1" customWidth="1"/>
    <col min="7684" max="7684" width="20.5546875" customWidth="1"/>
    <col min="7937" max="7937" width="13.33203125" bestFit="1" customWidth="1"/>
    <col min="7938" max="7938" width="14.6640625" bestFit="1" customWidth="1"/>
    <col min="7940" max="7940" width="20.5546875" customWidth="1"/>
    <col min="8193" max="8193" width="13.33203125" bestFit="1" customWidth="1"/>
    <col min="8194" max="8194" width="14.6640625" bestFit="1" customWidth="1"/>
    <col min="8196" max="8196" width="20.5546875" customWidth="1"/>
    <col min="8449" max="8449" width="13.33203125" bestFit="1" customWidth="1"/>
    <col min="8450" max="8450" width="14.6640625" bestFit="1" customWidth="1"/>
    <col min="8452" max="8452" width="20.5546875" customWidth="1"/>
    <col min="8705" max="8705" width="13.33203125" bestFit="1" customWidth="1"/>
    <col min="8706" max="8706" width="14.6640625" bestFit="1" customWidth="1"/>
    <col min="8708" max="8708" width="20.5546875" customWidth="1"/>
    <col min="8961" max="8961" width="13.33203125" bestFit="1" customWidth="1"/>
    <col min="8962" max="8962" width="14.6640625" bestFit="1" customWidth="1"/>
    <col min="8964" max="8964" width="20.5546875" customWidth="1"/>
    <col min="9217" max="9217" width="13.33203125" bestFit="1" customWidth="1"/>
    <col min="9218" max="9218" width="14.6640625" bestFit="1" customWidth="1"/>
    <col min="9220" max="9220" width="20.5546875" customWidth="1"/>
    <col min="9473" max="9473" width="13.33203125" bestFit="1" customWidth="1"/>
    <col min="9474" max="9474" width="14.6640625" bestFit="1" customWidth="1"/>
    <col min="9476" max="9476" width="20.5546875" customWidth="1"/>
    <col min="9729" max="9729" width="13.33203125" bestFit="1" customWidth="1"/>
    <col min="9730" max="9730" width="14.6640625" bestFit="1" customWidth="1"/>
    <col min="9732" max="9732" width="20.5546875" customWidth="1"/>
    <col min="9985" max="9985" width="13.33203125" bestFit="1" customWidth="1"/>
    <col min="9986" max="9986" width="14.6640625" bestFit="1" customWidth="1"/>
    <col min="9988" max="9988" width="20.5546875" customWidth="1"/>
    <col min="10241" max="10241" width="13.33203125" bestFit="1" customWidth="1"/>
    <col min="10242" max="10242" width="14.6640625" bestFit="1" customWidth="1"/>
    <col min="10244" max="10244" width="20.5546875" customWidth="1"/>
    <col min="10497" max="10497" width="13.33203125" bestFit="1" customWidth="1"/>
    <col min="10498" max="10498" width="14.6640625" bestFit="1" customWidth="1"/>
    <col min="10500" max="10500" width="20.5546875" customWidth="1"/>
    <col min="10753" max="10753" width="13.33203125" bestFit="1" customWidth="1"/>
    <col min="10754" max="10754" width="14.6640625" bestFit="1" customWidth="1"/>
    <col min="10756" max="10756" width="20.5546875" customWidth="1"/>
    <col min="11009" max="11009" width="13.33203125" bestFit="1" customWidth="1"/>
    <col min="11010" max="11010" width="14.6640625" bestFit="1" customWidth="1"/>
    <col min="11012" max="11012" width="20.5546875" customWidth="1"/>
    <col min="11265" max="11265" width="13.33203125" bestFit="1" customWidth="1"/>
    <col min="11266" max="11266" width="14.6640625" bestFit="1" customWidth="1"/>
    <col min="11268" max="11268" width="20.5546875" customWidth="1"/>
    <col min="11521" max="11521" width="13.33203125" bestFit="1" customWidth="1"/>
    <col min="11522" max="11522" width="14.6640625" bestFit="1" customWidth="1"/>
    <col min="11524" max="11524" width="20.5546875" customWidth="1"/>
    <col min="11777" max="11777" width="13.33203125" bestFit="1" customWidth="1"/>
    <col min="11778" max="11778" width="14.6640625" bestFit="1" customWidth="1"/>
    <col min="11780" max="11780" width="20.5546875" customWidth="1"/>
    <col min="12033" max="12033" width="13.33203125" bestFit="1" customWidth="1"/>
    <col min="12034" max="12034" width="14.6640625" bestFit="1" customWidth="1"/>
    <col min="12036" max="12036" width="20.5546875" customWidth="1"/>
    <col min="12289" max="12289" width="13.33203125" bestFit="1" customWidth="1"/>
    <col min="12290" max="12290" width="14.6640625" bestFit="1" customWidth="1"/>
    <col min="12292" max="12292" width="20.5546875" customWidth="1"/>
    <col min="12545" max="12545" width="13.33203125" bestFit="1" customWidth="1"/>
    <col min="12546" max="12546" width="14.6640625" bestFit="1" customWidth="1"/>
    <col min="12548" max="12548" width="20.5546875" customWidth="1"/>
    <col min="12801" max="12801" width="13.33203125" bestFit="1" customWidth="1"/>
    <col min="12802" max="12802" width="14.6640625" bestFit="1" customWidth="1"/>
    <col min="12804" max="12804" width="20.5546875" customWidth="1"/>
    <col min="13057" max="13057" width="13.33203125" bestFit="1" customWidth="1"/>
    <col min="13058" max="13058" width="14.6640625" bestFit="1" customWidth="1"/>
    <col min="13060" max="13060" width="20.5546875" customWidth="1"/>
    <col min="13313" max="13313" width="13.33203125" bestFit="1" customWidth="1"/>
    <col min="13314" max="13314" width="14.6640625" bestFit="1" customWidth="1"/>
    <col min="13316" max="13316" width="20.5546875" customWidth="1"/>
    <col min="13569" max="13569" width="13.33203125" bestFit="1" customWidth="1"/>
    <col min="13570" max="13570" width="14.6640625" bestFit="1" customWidth="1"/>
    <col min="13572" max="13572" width="20.5546875" customWidth="1"/>
    <col min="13825" max="13825" width="13.33203125" bestFit="1" customWidth="1"/>
    <col min="13826" max="13826" width="14.6640625" bestFit="1" customWidth="1"/>
    <col min="13828" max="13828" width="20.5546875" customWidth="1"/>
    <col min="14081" max="14081" width="13.33203125" bestFit="1" customWidth="1"/>
    <col min="14082" max="14082" width="14.6640625" bestFit="1" customWidth="1"/>
    <col min="14084" max="14084" width="20.5546875" customWidth="1"/>
    <col min="14337" max="14337" width="13.33203125" bestFit="1" customWidth="1"/>
    <col min="14338" max="14338" width="14.6640625" bestFit="1" customWidth="1"/>
    <col min="14340" max="14340" width="20.5546875" customWidth="1"/>
    <col min="14593" max="14593" width="13.33203125" bestFit="1" customWidth="1"/>
    <col min="14594" max="14594" width="14.6640625" bestFit="1" customWidth="1"/>
    <col min="14596" max="14596" width="20.5546875" customWidth="1"/>
    <col min="14849" max="14849" width="13.33203125" bestFit="1" customWidth="1"/>
    <col min="14850" max="14850" width="14.6640625" bestFit="1" customWidth="1"/>
    <col min="14852" max="14852" width="20.5546875" customWidth="1"/>
    <col min="15105" max="15105" width="13.33203125" bestFit="1" customWidth="1"/>
    <col min="15106" max="15106" width="14.6640625" bestFit="1" customWidth="1"/>
    <col min="15108" max="15108" width="20.5546875" customWidth="1"/>
    <col min="15361" max="15361" width="13.33203125" bestFit="1" customWidth="1"/>
    <col min="15362" max="15362" width="14.6640625" bestFit="1" customWidth="1"/>
    <col min="15364" max="15364" width="20.5546875" customWidth="1"/>
    <col min="15617" max="15617" width="13.33203125" bestFit="1" customWidth="1"/>
    <col min="15618" max="15618" width="14.6640625" bestFit="1" customWidth="1"/>
    <col min="15620" max="15620" width="20.5546875" customWidth="1"/>
    <col min="15873" max="15873" width="13.33203125" bestFit="1" customWidth="1"/>
    <col min="15874" max="15874" width="14.6640625" bestFit="1" customWidth="1"/>
    <col min="15876" max="15876" width="20.5546875" customWidth="1"/>
    <col min="16129" max="16129" width="13.33203125" bestFit="1" customWidth="1"/>
    <col min="16130" max="16130" width="14.6640625" bestFit="1" customWidth="1"/>
    <col min="16132" max="16132" width="20.5546875" customWidth="1"/>
  </cols>
  <sheetData>
    <row r="1" spans="1:4" x14ac:dyDescent="0.3">
      <c r="A1" s="1" t="s">
        <v>205</v>
      </c>
      <c r="B1" s="1" t="s">
        <v>206</v>
      </c>
    </row>
    <row r="2" spans="1:4" x14ac:dyDescent="0.3">
      <c r="A2" s="1" t="s">
        <v>207</v>
      </c>
      <c r="B2" s="21">
        <v>3200000</v>
      </c>
    </row>
    <row r="3" spans="1:4" x14ac:dyDescent="0.3">
      <c r="A3" s="1" t="s">
        <v>208</v>
      </c>
      <c r="B3" s="45">
        <v>0.8</v>
      </c>
    </row>
    <row r="4" spans="1:4" x14ac:dyDescent="0.3">
      <c r="A4" s="1" t="s">
        <v>209</v>
      </c>
      <c r="B4" s="30">
        <f>B2*B3</f>
        <v>2560000</v>
      </c>
    </row>
    <row r="5" spans="1:4" x14ac:dyDescent="0.3">
      <c r="A5" s="1" t="s">
        <v>77</v>
      </c>
      <c r="B5" s="1">
        <v>30</v>
      </c>
    </row>
    <row r="6" spans="1:4" x14ac:dyDescent="0.3">
      <c r="A6" s="1" t="s">
        <v>39</v>
      </c>
      <c r="B6" s="1">
        <v>12</v>
      </c>
    </row>
    <row r="7" spans="1:4" x14ac:dyDescent="0.3">
      <c r="A7" s="1" t="s">
        <v>196</v>
      </c>
      <c r="B7" s="2">
        <f>B6*B5</f>
        <v>360</v>
      </c>
    </row>
    <row r="8" spans="1:4" x14ac:dyDescent="0.3">
      <c r="A8" s="1" t="s">
        <v>97</v>
      </c>
      <c r="B8" s="9">
        <v>-15300</v>
      </c>
      <c r="D8" s="1" t="s">
        <v>210</v>
      </c>
    </row>
    <row r="9" spans="1:4" x14ac:dyDescent="0.3">
      <c r="A9" s="1" t="s">
        <v>211</v>
      </c>
      <c r="B9" s="53">
        <f>RATE(B7,B8,B4)</f>
        <v>4.9754298933216839E-3</v>
      </c>
      <c r="D9" t="s">
        <v>212</v>
      </c>
    </row>
    <row r="10" spans="1:4" x14ac:dyDescent="0.3">
      <c r="A10" s="1" t="s">
        <v>70</v>
      </c>
      <c r="B10" s="42">
        <f>B9*B6</f>
        <v>5.9705158719860207E-2</v>
      </c>
      <c r="D10" t="s">
        <v>213</v>
      </c>
    </row>
    <row r="11" spans="1:4" x14ac:dyDescent="0.3">
      <c r="A11" s="1" t="s">
        <v>71</v>
      </c>
      <c r="B11" s="42">
        <f>EFFECT(B10,B6)</f>
        <v>6.1366384642593363E-2</v>
      </c>
      <c r="D11" t="s">
        <v>214</v>
      </c>
    </row>
    <row r="12" spans="1:4" x14ac:dyDescent="0.3">
      <c r="D12" s="1" t="s">
        <v>88</v>
      </c>
    </row>
    <row r="13" spans="1:4" x14ac:dyDescent="0.3">
      <c r="D13" s="119">
        <f>(1+RATE(B6*B5,B8,B2*B3))^B6-1</f>
        <v>6.1366384642593363E-2</v>
      </c>
    </row>
  </sheetData>
  <pageMargins left="0.75" right="0.75" top="1" bottom="1" header="0.5" footer="0.5"/>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X34"/>
  <sheetViews>
    <sheetView zoomScale="85" workbookViewId="0">
      <selection activeCell="B15" sqref="B15"/>
    </sheetView>
  </sheetViews>
  <sheetFormatPr defaultRowHeight="14.4" x14ac:dyDescent="0.3"/>
  <cols>
    <col min="1" max="1" width="27.6640625" customWidth="1"/>
    <col min="2" max="2" width="14.5546875" customWidth="1"/>
    <col min="3" max="3" width="3.6640625" customWidth="1"/>
    <col min="4" max="7" width="6" customWidth="1"/>
    <col min="8" max="9" width="11.6640625" bestFit="1" customWidth="1"/>
    <col min="10" max="24" width="6" customWidth="1"/>
    <col min="257" max="257" width="27.6640625" customWidth="1"/>
    <col min="258" max="258" width="14.5546875" customWidth="1"/>
    <col min="259" max="259" width="3.6640625" customWidth="1"/>
    <col min="260" max="263" width="6" customWidth="1"/>
    <col min="264" max="265" width="11.6640625" bestFit="1" customWidth="1"/>
    <col min="266" max="280" width="6" customWidth="1"/>
    <col min="513" max="513" width="27.6640625" customWidth="1"/>
    <col min="514" max="514" width="14.5546875" customWidth="1"/>
    <col min="515" max="515" width="3.6640625" customWidth="1"/>
    <col min="516" max="519" width="6" customWidth="1"/>
    <col min="520" max="521" width="11.6640625" bestFit="1" customWidth="1"/>
    <col min="522" max="536" width="6" customWidth="1"/>
    <col min="769" max="769" width="27.6640625" customWidth="1"/>
    <col min="770" max="770" width="14.5546875" customWidth="1"/>
    <col min="771" max="771" width="3.6640625" customWidth="1"/>
    <col min="772" max="775" width="6" customWidth="1"/>
    <col min="776" max="777" width="11.6640625" bestFit="1" customWidth="1"/>
    <col min="778" max="792" width="6" customWidth="1"/>
    <col min="1025" max="1025" width="27.6640625" customWidth="1"/>
    <col min="1026" max="1026" width="14.5546875" customWidth="1"/>
    <col min="1027" max="1027" width="3.6640625" customWidth="1"/>
    <col min="1028" max="1031" width="6" customWidth="1"/>
    <col min="1032" max="1033" width="11.6640625" bestFit="1" customWidth="1"/>
    <col min="1034" max="1048" width="6" customWidth="1"/>
    <col min="1281" max="1281" width="27.6640625" customWidth="1"/>
    <col min="1282" max="1282" width="14.5546875" customWidth="1"/>
    <col min="1283" max="1283" width="3.6640625" customWidth="1"/>
    <col min="1284" max="1287" width="6" customWidth="1"/>
    <col min="1288" max="1289" width="11.6640625" bestFit="1" customWidth="1"/>
    <col min="1290" max="1304" width="6" customWidth="1"/>
    <col min="1537" max="1537" width="27.6640625" customWidth="1"/>
    <col min="1538" max="1538" width="14.5546875" customWidth="1"/>
    <col min="1539" max="1539" width="3.6640625" customWidth="1"/>
    <col min="1540" max="1543" width="6" customWidth="1"/>
    <col min="1544" max="1545" width="11.6640625" bestFit="1" customWidth="1"/>
    <col min="1546" max="1560" width="6" customWidth="1"/>
    <col min="1793" max="1793" width="27.6640625" customWidth="1"/>
    <col min="1794" max="1794" width="14.5546875" customWidth="1"/>
    <col min="1795" max="1795" width="3.6640625" customWidth="1"/>
    <col min="1796" max="1799" width="6" customWidth="1"/>
    <col min="1800" max="1801" width="11.6640625" bestFit="1" customWidth="1"/>
    <col min="1802" max="1816" width="6" customWidth="1"/>
    <col min="2049" max="2049" width="27.6640625" customWidth="1"/>
    <col min="2050" max="2050" width="14.5546875" customWidth="1"/>
    <col min="2051" max="2051" width="3.6640625" customWidth="1"/>
    <col min="2052" max="2055" width="6" customWidth="1"/>
    <col min="2056" max="2057" width="11.6640625" bestFit="1" customWidth="1"/>
    <col min="2058" max="2072" width="6" customWidth="1"/>
    <col min="2305" max="2305" width="27.6640625" customWidth="1"/>
    <col min="2306" max="2306" width="14.5546875" customWidth="1"/>
    <col min="2307" max="2307" width="3.6640625" customWidth="1"/>
    <col min="2308" max="2311" width="6" customWidth="1"/>
    <col min="2312" max="2313" width="11.6640625" bestFit="1" customWidth="1"/>
    <col min="2314" max="2328" width="6" customWidth="1"/>
    <col min="2561" max="2561" width="27.6640625" customWidth="1"/>
    <col min="2562" max="2562" width="14.5546875" customWidth="1"/>
    <col min="2563" max="2563" width="3.6640625" customWidth="1"/>
    <col min="2564" max="2567" width="6" customWidth="1"/>
    <col min="2568" max="2569" width="11.6640625" bestFit="1" customWidth="1"/>
    <col min="2570" max="2584" width="6" customWidth="1"/>
    <col min="2817" max="2817" width="27.6640625" customWidth="1"/>
    <col min="2818" max="2818" width="14.5546875" customWidth="1"/>
    <col min="2819" max="2819" width="3.6640625" customWidth="1"/>
    <col min="2820" max="2823" width="6" customWidth="1"/>
    <col min="2824" max="2825" width="11.6640625" bestFit="1" customWidth="1"/>
    <col min="2826" max="2840" width="6" customWidth="1"/>
    <col min="3073" max="3073" width="27.6640625" customWidth="1"/>
    <col min="3074" max="3074" width="14.5546875" customWidth="1"/>
    <col min="3075" max="3075" width="3.6640625" customWidth="1"/>
    <col min="3076" max="3079" width="6" customWidth="1"/>
    <col min="3080" max="3081" width="11.6640625" bestFit="1" customWidth="1"/>
    <col min="3082" max="3096" width="6" customWidth="1"/>
    <col min="3329" max="3329" width="27.6640625" customWidth="1"/>
    <col min="3330" max="3330" width="14.5546875" customWidth="1"/>
    <col min="3331" max="3331" width="3.6640625" customWidth="1"/>
    <col min="3332" max="3335" width="6" customWidth="1"/>
    <col min="3336" max="3337" width="11.6640625" bestFit="1" customWidth="1"/>
    <col min="3338" max="3352" width="6" customWidth="1"/>
    <col min="3585" max="3585" width="27.6640625" customWidth="1"/>
    <col min="3586" max="3586" width="14.5546875" customWidth="1"/>
    <col min="3587" max="3587" width="3.6640625" customWidth="1"/>
    <col min="3588" max="3591" width="6" customWidth="1"/>
    <col min="3592" max="3593" width="11.6640625" bestFit="1" customWidth="1"/>
    <col min="3594" max="3608" width="6" customWidth="1"/>
    <col min="3841" max="3841" width="27.6640625" customWidth="1"/>
    <col min="3842" max="3842" width="14.5546875" customWidth="1"/>
    <col min="3843" max="3843" width="3.6640625" customWidth="1"/>
    <col min="3844" max="3847" width="6" customWidth="1"/>
    <col min="3848" max="3849" width="11.6640625" bestFit="1" customWidth="1"/>
    <col min="3850" max="3864" width="6" customWidth="1"/>
    <col min="4097" max="4097" width="27.6640625" customWidth="1"/>
    <col min="4098" max="4098" width="14.5546875" customWidth="1"/>
    <col min="4099" max="4099" width="3.6640625" customWidth="1"/>
    <col min="4100" max="4103" width="6" customWidth="1"/>
    <col min="4104" max="4105" width="11.6640625" bestFit="1" customWidth="1"/>
    <col min="4106" max="4120" width="6" customWidth="1"/>
    <col min="4353" max="4353" width="27.6640625" customWidth="1"/>
    <col min="4354" max="4354" width="14.5546875" customWidth="1"/>
    <col min="4355" max="4355" width="3.6640625" customWidth="1"/>
    <col min="4356" max="4359" width="6" customWidth="1"/>
    <col min="4360" max="4361" width="11.6640625" bestFit="1" customWidth="1"/>
    <col min="4362" max="4376" width="6" customWidth="1"/>
    <col min="4609" max="4609" width="27.6640625" customWidth="1"/>
    <col min="4610" max="4610" width="14.5546875" customWidth="1"/>
    <col min="4611" max="4611" width="3.6640625" customWidth="1"/>
    <col min="4612" max="4615" width="6" customWidth="1"/>
    <col min="4616" max="4617" width="11.6640625" bestFit="1" customWidth="1"/>
    <col min="4618" max="4632" width="6" customWidth="1"/>
    <col min="4865" max="4865" width="27.6640625" customWidth="1"/>
    <col min="4866" max="4866" width="14.5546875" customWidth="1"/>
    <col min="4867" max="4867" width="3.6640625" customWidth="1"/>
    <col min="4868" max="4871" width="6" customWidth="1"/>
    <col min="4872" max="4873" width="11.6640625" bestFit="1" customWidth="1"/>
    <col min="4874" max="4888" width="6" customWidth="1"/>
    <col min="5121" max="5121" width="27.6640625" customWidth="1"/>
    <col min="5122" max="5122" width="14.5546875" customWidth="1"/>
    <col min="5123" max="5123" width="3.6640625" customWidth="1"/>
    <col min="5124" max="5127" width="6" customWidth="1"/>
    <col min="5128" max="5129" width="11.6640625" bestFit="1" customWidth="1"/>
    <col min="5130" max="5144" width="6" customWidth="1"/>
    <col min="5377" max="5377" width="27.6640625" customWidth="1"/>
    <col min="5378" max="5378" width="14.5546875" customWidth="1"/>
    <col min="5379" max="5379" width="3.6640625" customWidth="1"/>
    <col min="5380" max="5383" width="6" customWidth="1"/>
    <col min="5384" max="5385" width="11.6640625" bestFit="1" customWidth="1"/>
    <col min="5386" max="5400" width="6" customWidth="1"/>
    <col min="5633" max="5633" width="27.6640625" customWidth="1"/>
    <col min="5634" max="5634" width="14.5546875" customWidth="1"/>
    <col min="5635" max="5635" width="3.6640625" customWidth="1"/>
    <col min="5636" max="5639" width="6" customWidth="1"/>
    <col min="5640" max="5641" width="11.6640625" bestFit="1" customWidth="1"/>
    <col min="5642" max="5656" width="6" customWidth="1"/>
    <col min="5889" max="5889" width="27.6640625" customWidth="1"/>
    <col min="5890" max="5890" width="14.5546875" customWidth="1"/>
    <col min="5891" max="5891" width="3.6640625" customWidth="1"/>
    <col min="5892" max="5895" width="6" customWidth="1"/>
    <col min="5896" max="5897" width="11.6640625" bestFit="1" customWidth="1"/>
    <col min="5898" max="5912" width="6" customWidth="1"/>
    <col min="6145" max="6145" width="27.6640625" customWidth="1"/>
    <col min="6146" max="6146" width="14.5546875" customWidth="1"/>
    <col min="6147" max="6147" width="3.6640625" customWidth="1"/>
    <col min="6148" max="6151" width="6" customWidth="1"/>
    <col min="6152" max="6153" width="11.6640625" bestFit="1" customWidth="1"/>
    <col min="6154" max="6168" width="6" customWidth="1"/>
    <col min="6401" max="6401" width="27.6640625" customWidth="1"/>
    <col min="6402" max="6402" width="14.5546875" customWidth="1"/>
    <col min="6403" max="6403" width="3.6640625" customWidth="1"/>
    <col min="6404" max="6407" width="6" customWidth="1"/>
    <col min="6408" max="6409" width="11.6640625" bestFit="1" customWidth="1"/>
    <col min="6410" max="6424" width="6" customWidth="1"/>
    <col min="6657" max="6657" width="27.6640625" customWidth="1"/>
    <col min="6658" max="6658" width="14.5546875" customWidth="1"/>
    <col min="6659" max="6659" width="3.6640625" customWidth="1"/>
    <col min="6660" max="6663" width="6" customWidth="1"/>
    <col min="6664" max="6665" width="11.6640625" bestFit="1" customWidth="1"/>
    <col min="6666" max="6680" width="6" customWidth="1"/>
    <col min="6913" max="6913" width="27.6640625" customWidth="1"/>
    <col min="6914" max="6914" width="14.5546875" customWidth="1"/>
    <col min="6915" max="6915" width="3.6640625" customWidth="1"/>
    <col min="6916" max="6919" width="6" customWidth="1"/>
    <col min="6920" max="6921" width="11.6640625" bestFit="1" customWidth="1"/>
    <col min="6922" max="6936" width="6" customWidth="1"/>
    <col min="7169" max="7169" width="27.6640625" customWidth="1"/>
    <col min="7170" max="7170" width="14.5546875" customWidth="1"/>
    <col min="7171" max="7171" width="3.6640625" customWidth="1"/>
    <col min="7172" max="7175" width="6" customWidth="1"/>
    <col min="7176" max="7177" width="11.6640625" bestFit="1" customWidth="1"/>
    <col min="7178" max="7192" width="6" customWidth="1"/>
    <col min="7425" max="7425" width="27.6640625" customWidth="1"/>
    <col min="7426" max="7426" width="14.5546875" customWidth="1"/>
    <col min="7427" max="7427" width="3.6640625" customWidth="1"/>
    <col min="7428" max="7431" width="6" customWidth="1"/>
    <col min="7432" max="7433" width="11.6640625" bestFit="1" customWidth="1"/>
    <col min="7434" max="7448" width="6" customWidth="1"/>
    <col min="7681" max="7681" width="27.6640625" customWidth="1"/>
    <col min="7682" max="7682" width="14.5546875" customWidth="1"/>
    <col min="7683" max="7683" width="3.6640625" customWidth="1"/>
    <col min="7684" max="7687" width="6" customWidth="1"/>
    <col min="7688" max="7689" width="11.6640625" bestFit="1" customWidth="1"/>
    <col min="7690" max="7704" width="6" customWidth="1"/>
    <col min="7937" max="7937" width="27.6640625" customWidth="1"/>
    <col min="7938" max="7938" width="14.5546875" customWidth="1"/>
    <col min="7939" max="7939" width="3.6640625" customWidth="1"/>
    <col min="7940" max="7943" width="6" customWidth="1"/>
    <col min="7944" max="7945" width="11.6640625" bestFit="1" customWidth="1"/>
    <col min="7946" max="7960" width="6" customWidth="1"/>
    <col min="8193" max="8193" width="27.6640625" customWidth="1"/>
    <col min="8194" max="8194" width="14.5546875" customWidth="1"/>
    <col min="8195" max="8195" width="3.6640625" customWidth="1"/>
    <col min="8196" max="8199" width="6" customWidth="1"/>
    <col min="8200" max="8201" width="11.6640625" bestFit="1" customWidth="1"/>
    <col min="8202" max="8216" width="6" customWidth="1"/>
    <col min="8449" max="8449" width="27.6640625" customWidth="1"/>
    <col min="8450" max="8450" width="14.5546875" customWidth="1"/>
    <col min="8451" max="8451" width="3.6640625" customWidth="1"/>
    <col min="8452" max="8455" width="6" customWidth="1"/>
    <col min="8456" max="8457" width="11.6640625" bestFit="1" customWidth="1"/>
    <col min="8458" max="8472" width="6" customWidth="1"/>
    <col min="8705" max="8705" width="27.6640625" customWidth="1"/>
    <col min="8706" max="8706" width="14.5546875" customWidth="1"/>
    <col min="8707" max="8707" width="3.6640625" customWidth="1"/>
    <col min="8708" max="8711" width="6" customWidth="1"/>
    <col min="8712" max="8713" width="11.6640625" bestFit="1" customWidth="1"/>
    <col min="8714" max="8728" width="6" customWidth="1"/>
    <col min="8961" max="8961" width="27.6640625" customWidth="1"/>
    <col min="8962" max="8962" width="14.5546875" customWidth="1"/>
    <col min="8963" max="8963" width="3.6640625" customWidth="1"/>
    <col min="8964" max="8967" width="6" customWidth="1"/>
    <col min="8968" max="8969" width="11.6640625" bestFit="1" customWidth="1"/>
    <col min="8970" max="8984" width="6" customWidth="1"/>
    <col min="9217" max="9217" width="27.6640625" customWidth="1"/>
    <col min="9218" max="9218" width="14.5546875" customWidth="1"/>
    <col min="9219" max="9219" width="3.6640625" customWidth="1"/>
    <col min="9220" max="9223" width="6" customWidth="1"/>
    <col min="9224" max="9225" width="11.6640625" bestFit="1" customWidth="1"/>
    <col min="9226" max="9240" width="6" customWidth="1"/>
    <col min="9473" max="9473" width="27.6640625" customWidth="1"/>
    <col min="9474" max="9474" width="14.5546875" customWidth="1"/>
    <col min="9475" max="9475" width="3.6640625" customWidth="1"/>
    <col min="9476" max="9479" width="6" customWidth="1"/>
    <col min="9480" max="9481" width="11.6640625" bestFit="1" customWidth="1"/>
    <col min="9482" max="9496" width="6" customWidth="1"/>
    <col min="9729" max="9729" width="27.6640625" customWidth="1"/>
    <col min="9730" max="9730" width="14.5546875" customWidth="1"/>
    <col min="9731" max="9731" width="3.6640625" customWidth="1"/>
    <col min="9732" max="9735" width="6" customWidth="1"/>
    <col min="9736" max="9737" width="11.6640625" bestFit="1" customWidth="1"/>
    <col min="9738" max="9752" width="6" customWidth="1"/>
    <col min="9985" max="9985" width="27.6640625" customWidth="1"/>
    <col min="9986" max="9986" width="14.5546875" customWidth="1"/>
    <col min="9987" max="9987" width="3.6640625" customWidth="1"/>
    <col min="9988" max="9991" width="6" customWidth="1"/>
    <col min="9992" max="9993" width="11.6640625" bestFit="1" customWidth="1"/>
    <col min="9994" max="10008" width="6" customWidth="1"/>
    <col min="10241" max="10241" width="27.6640625" customWidth="1"/>
    <col min="10242" max="10242" width="14.5546875" customWidth="1"/>
    <col min="10243" max="10243" width="3.6640625" customWidth="1"/>
    <col min="10244" max="10247" width="6" customWidth="1"/>
    <col min="10248" max="10249" width="11.6640625" bestFit="1" customWidth="1"/>
    <col min="10250" max="10264" width="6" customWidth="1"/>
    <col min="10497" max="10497" width="27.6640625" customWidth="1"/>
    <col min="10498" max="10498" width="14.5546875" customWidth="1"/>
    <col min="10499" max="10499" width="3.6640625" customWidth="1"/>
    <col min="10500" max="10503" width="6" customWidth="1"/>
    <col min="10504" max="10505" width="11.6640625" bestFit="1" customWidth="1"/>
    <col min="10506" max="10520" width="6" customWidth="1"/>
    <col min="10753" max="10753" width="27.6640625" customWidth="1"/>
    <col min="10754" max="10754" width="14.5546875" customWidth="1"/>
    <col min="10755" max="10755" width="3.6640625" customWidth="1"/>
    <col min="10756" max="10759" width="6" customWidth="1"/>
    <col min="10760" max="10761" width="11.6640625" bestFit="1" customWidth="1"/>
    <col min="10762" max="10776" width="6" customWidth="1"/>
    <col min="11009" max="11009" width="27.6640625" customWidth="1"/>
    <col min="11010" max="11010" width="14.5546875" customWidth="1"/>
    <col min="11011" max="11011" width="3.6640625" customWidth="1"/>
    <col min="11012" max="11015" width="6" customWidth="1"/>
    <col min="11016" max="11017" width="11.6640625" bestFit="1" customWidth="1"/>
    <col min="11018" max="11032" width="6" customWidth="1"/>
    <col min="11265" max="11265" width="27.6640625" customWidth="1"/>
    <col min="11266" max="11266" width="14.5546875" customWidth="1"/>
    <col min="11267" max="11267" width="3.6640625" customWidth="1"/>
    <col min="11268" max="11271" width="6" customWidth="1"/>
    <col min="11272" max="11273" width="11.6640625" bestFit="1" customWidth="1"/>
    <col min="11274" max="11288" width="6" customWidth="1"/>
    <col min="11521" max="11521" width="27.6640625" customWidth="1"/>
    <col min="11522" max="11522" width="14.5546875" customWidth="1"/>
    <col min="11523" max="11523" width="3.6640625" customWidth="1"/>
    <col min="11524" max="11527" width="6" customWidth="1"/>
    <col min="11528" max="11529" width="11.6640625" bestFit="1" customWidth="1"/>
    <col min="11530" max="11544" width="6" customWidth="1"/>
    <col min="11777" max="11777" width="27.6640625" customWidth="1"/>
    <col min="11778" max="11778" width="14.5546875" customWidth="1"/>
    <col min="11779" max="11779" width="3.6640625" customWidth="1"/>
    <col min="11780" max="11783" width="6" customWidth="1"/>
    <col min="11784" max="11785" width="11.6640625" bestFit="1" customWidth="1"/>
    <col min="11786" max="11800" width="6" customWidth="1"/>
    <col min="12033" max="12033" width="27.6640625" customWidth="1"/>
    <col min="12034" max="12034" width="14.5546875" customWidth="1"/>
    <col min="12035" max="12035" width="3.6640625" customWidth="1"/>
    <col min="12036" max="12039" width="6" customWidth="1"/>
    <col min="12040" max="12041" width="11.6640625" bestFit="1" customWidth="1"/>
    <col min="12042" max="12056" width="6" customWidth="1"/>
    <col min="12289" max="12289" width="27.6640625" customWidth="1"/>
    <col min="12290" max="12290" width="14.5546875" customWidth="1"/>
    <col min="12291" max="12291" width="3.6640625" customWidth="1"/>
    <col min="12292" max="12295" width="6" customWidth="1"/>
    <col min="12296" max="12297" width="11.6640625" bestFit="1" customWidth="1"/>
    <col min="12298" max="12312" width="6" customWidth="1"/>
    <col min="12545" max="12545" width="27.6640625" customWidth="1"/>
    <col min="12546" max="12546" width="14.5546875" customWidth="1"/>
    <col min="12547" max="12547" width="3.6640625" customWidth="1"/>
    <col min="12548" max="12551" width="6" customWidth="1"/>
    <col min="12552" max="12553" width="11.6640625" bestFit="1" customWidth="1"/>
    <col min="12554" max="12568" width="6" customWidth="1"/>
    <col min="12801" max="12801" width="27.6640625" customWidth="1"/>
    <col min="12802" max="12802" width="14.5546875" customWidth="1"/>
    <col min="12803" max="12803" width="3.6640625" customWidth="1"/>
    <col min="12804" max="12807" width="6" customWidth="1"/>
    <col min="12808" max="12809" width="11.6640625" bestFit="1" customWidth="1"/>
    <col min="12810" max="12824" width="6" customWidth="1"/>
    <col min="13057" max="13057" width="27.6640625" customWidth="1"/>
    <col min="13058" max="13058" width="14.5546875" customWidth="1"/>
    <col min="13059" max="13059" width="3.6640625" customWidth="1"/>
    <col min="13060" max="13063" width="6" customWidth="1"/>
    <col min="13064" max="13065" width="11.6640625" bestFit="1" customWidth="1"/>
    <col min="13066" max="13080" width="6" customWidth="1"/>
    <col min="13313" max="13313" width="27.6640625" customWidth="1"/>
    <col min="13314" max="13314" width="14.5546875" customWidth="1"/>
    <col min="13315" max="13315" width="3.6640625" customWidth="1"/>
    <col min="13316" max="13319" width="6" customWidth="1"/>
    <col min="13320" max="13321" width="11.6640625" bestFit="1" customWidth="1"/>
    <col min="13322" max="13336" width="6" customWidth="1"/>
    <col min="13569" max="13569" width="27.6640625" customWidth="1"/>
    <col min="13570" max="13570" width="14.5546875" customWidth="1"/>
    <col min="13571" max="13571" width="3.6640625" customWidth="1"/>
    <col min="13572" max="13575" width="6" customWidth="1"/>
    <col min="13576" max="13577" width="11.6640625" bestFit="1" customWidth="1"/>
    <col min="13578" max="13592" width="6" customWidth="1"/>
    <col min="13825" max="13825" width="27.6640625" customWidth="1"/>
    <col min="13826" max="13826" width="14.5546875" customWidth="1"/>
    <col min="13827" max="13827" width="3.6640625" customWidth="1"/>
    <col min="13828" max="13831" width="6" customWidth="1"/>
    <col min="13832" max="13833" width="11.6640625" bestFit="1" customWidth="1"/>
    <col min="13834" max="13848" width="6" customWidth="1"/>
    <col min="14081" max="14081" width="27.6640625" customWidth="1"/>
    <col min="14082" max="14082" width="14.5546875" customWidth="1"/>
    <col min="14083" max="14083" width="3.6640625" customWidth="1"/>
    <col min="14084" max="14087" width="6" customWidth="1"/>
    <col min="14088" max="14089" width="11.6640625" bestFit="1" customWidth="1"/>
    <col min="14090" max="14104" width="6" customWidth="1"/>
    <col min="14337" max="14337" width="27.6640625" customWidth="1"/>
    <col min="14338" max="14338" width="14.5546875" customWidth="1"/>
    <col min="14339" max="14339" width="3.6640625" customWidth="1"/>
    <col min="14340" max="14343" width="6" customWidth="1"/>
    <col min="14344" max="14345" width="11.6640625" bestFit="1" customWidth="1"/>
    <col min="14346" max="14360" width="6" customWidth="1"/>
    <col min="14593" max="14593" width="27.6640625" customWidth="1"/>
    <col min="14594" max="14594" width="14.5546875" customWidth="1"/>
    <col min="14595" max="14595" width="3.6640625" customWidth="1"/>
    <col min="14596" max="14599" width="6" customWidth="1"/>
    <col min="14600" max="14601" width="11.6640625" bestFit="1" customWidth="1"/>
    <col min="14602" max="14616" width="6" customWidth="1"/>
    <col min="14849" max="14849" width="27.6640625" customWidth="1"/>
    <col min="14850" max="14850" width="14.5546875" customWidth="1"/>
    <col min="14851" max="14851" width="3.6640625" customWidth="1"/>
    <col min="14852" max="14855" width="6" customWidth="1"/>
    <col min="14856" max="14857" width="11.6640625" bestFit="1" customWidth="1"/>
    <col min="14858" max="14872" width="6" customWidth="1"/>
    <col min="15105" max="15105" width="27.6640625" customWidth="1"/>
    <col min="15106" max="15106" width="14.5546875" customWidth="1"/>
    <col min="15107" max="15107" width="3.6640625" customWidth="1"/>
    <col min="15108" max="15111" width="6" customWidth="1"/>
    <col min="15112" max="15113" width="11.6640625" bestFit="1" customWidth="1"/>
    <col min="15114" max="15128" width="6" customWidth="1"/>
    <col min="15361" max="15361" width="27.6640625" customWidth="1"/>
    <col min="15362" max="15362" width="14.5546875" customWidth="1"/>
    <col min="15363" max="15363" width="3.6640625" customWidth="1"/>
    <col min="15364" max="15367" width="6" customWidth="1"/>
    <col min="15368" max="15369" width="11.6640625" bestFit="1" customWidth="1"/>
    <col min="15370" max="15384" width="6" customWidth="1"/>
    <col min="15617" max="15617" width="27.6640625" customWidth="1"/>
    <col min="15618" max="15618" width="14.5546875" customWidth="1"/>
    <col min="15619" max="15619" width="3.6640625" customWidth="1"/>
    <col min="15620" max="15623" width="6" customWidth="1"/>
    <col min="15624" max="15625" width="11.6640625" bestFit="1" customWidth="1"/>
    <col min="15626" max="15640" width="6" customWidth="1"/>
    <col min="15873" max="15873" width="27.6640625" customWidth="1"/>
    <col min="15874" max="15874" width="14.5546875" customWidth="1"/>
    <col min="15875" max="15875" width="3.6640625" customWidth="1"/>
    <col min="15876" max="15879" width="6" customWidth="1"/>
    <col min="15880" max="15881" width="11.6640625" bestFit="1" customWidth="1"/>
    <col min="15882" max="15896" width="6" customWidth="1"/>
    <col min="16129" max="16129" width="27.6640625" customWidth="1"/>
    <col min="16130" max="16130" width="14.5546875" customWidth="1"/>
    <col min="16131" max="16131" width="3.6640625" customWidth="1"/>
    <col min="16132" max="16135" width="6" customWidth="1"/>
    <col min="16136" max="16137" width="11.6640625" bestFit="1" customWidth="1"/>
    <col min="16138" max="16152" width="6" customWidth="1"/>
  </cols>
  <sheetData>
    <row r="1" spans="1:24" ht="15" x14ac:dyDescent="0.3">
      <c r="A1" s="40" t="str">
        <f>"Since the first payment is received "&amp;B3&amp;" years from today, and the last payment is received "&amp;B4&amp;" years from now, there are "&amp;COUNT(I10:X10)&amp;" payments."</f>
        <v>Since the first payment is received 6 years from today, and the last payment is received 20 years from now, there are 15 payments.</v>
      </c>
      <c r="B1" s="40"/>
      <c r="C1" s="40"/>
      <c r="D1" s="40"/>
      <c r="E1" s="40"/>
      <c r="F1" s="40"/>
      <c r="G1" s="40"/>
      <c r="H1" s="40"/>
      <c r="I1" s="40"/>
      <c r="J1" s="40"/>
      <c r="K1" s="40"/>
      <c r="L1" s="40"/>
      <c r="M1" s="40"/>
      <c r="N1" s="40"/>
    </row>
    <row r="2" spans="1:24" ht="15" x14ac:dyDescent="0.3">
      <c r="A2" s="49" t="s">
        <v>215</v>
      </c>
      <c r="B2" s="49">
        <v>0</v>
      </c>
    </row>
    <row r="3" spans="1:24" ht="15" x14ac:dyDescent="0.3">
      <c r="A3" s="1" t="s">
        <v>216</v>
      </c>
      <c r="B3" s="1">
        <v>6</v>
      </c>
    </row>
    <row r="4" spans="1:24" ht="15" x14ac:dyDescent="0.3">
      <c r="A4" s="1" t="s">
        <v>217</v>
      </c>
      <c r="B4" s="1">
        <v>20</v>
      </c>
    </row>
    <row r="5" spans="1:24" ht="15" x14ac:dyDescent="0.3">
      <c r="A5" s="1" t="s">
        <v>218</v>
      </c>
      <c r="B5" s="2"/>
    </row>
    <row r="6" spans="1:24" ht="15" x14ac:dyDescent="0.3">
      <c r="A6" s="1" t="s">
        <v>97</v>
      </c>
      <c r="B6" s="1">
        <v>1625</v>
      </c>
    </row>
    <row r="7" spans="1:24" ht="15" x14ac:dyDescent="0.3">
      <c r="A7" s="1" t="s">
        <v>161</v>
      </c>
      <c r="B7" s="1">
        <v>0</v>
      </c>
      <c r="C7" t="s">
        <v>219</v>
      </c>
    </row>
    <row r="8" spans="1:24" ht="15" x14ac:dyDescent="0.3">
      <c r="A8" s="1" t="s">
        <v>150</v>
      </c>
      <c r="B8" s="1">
        <v>7.0000000000000007E-2</v>
      </c>
    </row>
    <row r="9" spans="1:24" ht="15" x14ac:dyDescent="0.3">
      <c r="A9" s="1" t="s">
        <v>220</v>
      </c>
      <c r="B9" s="30"/>
      <c r="D9" s="120">
        <v>0</v>
      </c>
      <c r="E9" s="121">
        <v>1</v>
      </c>
      <c r="F9" s="121">
        <v>2</v>
      </c>
      <c r="G9" s="121">
        <v>3</v>
      </c>
      <c r="H9" s="121">
        <v>4</v>
      </c>
      <c r="I9" s="121">
        <v>5</v>
      </c>
      <c r="J9" s="121">
        <v>6</v>
      </c>
      <c r="K9" s="121">
        <v>7</v>
      </c>
      <c r="L9" s="121">
        <v>8</v>
      </c>
      <c r="M9" s="121">
        <v>9</v>
      </c>
      <c r="N9" s="121">
        <v>10</v>
      </c>
      <c r="O9" s="121">
        <v>11</v>
      </c>
      <c r="P9" s="121">
        <v>12</v>
      </c>
      <c r="Q9" s="121">
        <v>13</v>
      </c>
      <c r="R9" s="121">
        <v>14</v>
      </c>
      <c r="S9" s="121">
        <v>15</v>
      </c>
      <c r="T9" s="121">
        <v>16</v>
      </c>
      <c r="U9" s="121">
        <v>17</v>
      </c>
      <c r="V9" s="121">
        <v>18</v>
      </c>
      <c r="W9" s="121">
        <v>19</v>
      </c>
      <c r="X9" s="122">
        <v>20</v>
      </c>
    </row>
    <row r="10" spans="1:24" ht="15" x14ac:dyDescent="0.3">
      <c r="A10" s="78" t="s">
        <v>221</v>
      </c>
      <c r="B10" s="102"/>
      <c r="D10" s="123"/>
      <c r="E10" s="28"/>
      <c r="F10" s="28"/>
      <c r="G10" s="28"/>
      <c r="H10" s="28"/>
      <c r="I10" s="124"/>
      <c r="J10" s="124">
        <f t="shared" ref="J10:X10" si="0">$B$6</f>
        <v>1625</v>
      </c>
      <c r="K10" s="124">
        <f t="shared" si="0"/>
        <v>1625</v>
      </c>
      <c r="L10" s="124">
        <f t="shared" si="0"/>
        <v>1625</v>
      </c>
      <c r="M10" s="124">
        <f t="shared" si="0"/>
        <v>1625</v>
      </c>
      <c r="N10" s="124">
        <f t="shared" si="0"/>
        <v>1625</v>
      </c>
      <c r="O10" s="124">
        <f t="shared" si="0"/>
        <v>1625</v>
      </c>
      <c r="P10" s="124">
        <f t="shared" si="0"/>
        <v>1625</v>
      </c>
      <c r="Q10" s="124">
        <f t="shared" si="0"/>
        <v>1625</v>
      </c>
      <c r="R10" s="124">
        <f t="shared" si="0"/>
        <v>1625</v>
      </c>
      <c r="S10" s="124">
        <f t="shared" si="0"/>
        <v>1625</v>
      </c>
      <c r="T10" s="124">
        <f t="shared" si="0"/>
        <v>1625</v>
      </c>
      <c r="U10" s="124">
        <f t="shared" si="0"/>
        <v>1625</v>
      </c>
      <c r="V10" s="124">
        <f t="shared" si="0"/>
        <v>1625</v>
      </c>
      <c r="W10" s="124">
        <f t="shared" si="0"/>
        <v>1625</v>
      </c>
      <c r="X10" s="125">
        <f t="shared" si="0"/>
        <v>1625</v>
      </c>
    </row>
    <row r="11" spans="1:24" ht="15" x14ac:dyDescent="0.3">
      <c r="A11" s="1" t="s">
        <v>222</v>
      </c>
      <c r="B11" s="30"/>
      <c r="H11" s="7"/>
      <c r="I11" s="7"/>
    </row>
    <row r="13" spans="1:24" ht="15" x14ac:dyDescent="0.3">
      <c r="A13" s="1" t="s">
        <v>14</v>
      </c>
      <c r="B13" s="1"/>
    </row>
    <row r="14" spans="1:24" ht="15" x14ac:dyDescent="0.3">
      <c r="A14" s="1" t="s">
        <v>15</v>
      </c>
      <c r="B14" s="1">
        <v>0</v>
      </c>
    </row>
    <row r="15" spans="1:24" ht="15" x14ac:dyDescent="0.3">
      <c r="A15" s="1" t="s">
        <v>16</v>
      </c>
      <c r="B15" s="1">
        <v>0</v>
      </c>
    </row>
    <row r="16" spans="1:24" ht="15" x14ac:dyDescent="0.3">
      <c r="A16" s="1" t="s">
        <v>17</v>
      </c>
      <c r="B16" s="1">
        <v>0</v>
      </c>
    </row>
    <row r="17" spans="1:2" ht="15" x14ac:dyDescent="0.3">
      <c r="A17" s="1" t="s">
        <v>18</v>
      </c>
      <c r="B17" s="1">
        <v>0</v>
      </c>
    </row>
    <row r="18" spans="1:2" ht="15" x14ac:dyDescent="0.3">
      <c r="A18" s="1" t="s">
        <v>19</v>
      </c>
      <c r="B18" s="1">
        <v>0</v>
      </c>
    </row>
    <row r="19" spans="1:2" ht="15" x14ac:dyDescent="0.3">
      <c r="A19" s="1" t="s">
        <v>20</v>
      </c>
      <c r="B19" s="1">
        <f t="shared" ref="B19:B33" si="1">-$B$6</f>
        <v>-1625</v>
      </c>
    </row>
    <row r="20" spans="1:2" ht="15" x14ac:dyDescent="0.3">
      <c r="A20" s="1" t="s">
        <v>21</v>
      </c>
      <c r="B20" s="1">
        <f t="shared" si="1"/>
        <v>-1625</v>
      </c>
    </row>
    <row r="21" spans="1:2" ht="15" x14ac:dyDescent="0.3">
      <c r="A21" s="1" t="s">
        <v>22</v>
      </c>
      <c r="B21" s="1">
        <f t="shared" si="1"/>
        <v>-1625</v>
      </c>
    </row>
    <row r="22" spans="1:2" ht="15" x14ac:dyDescent="0.3">
      <c r="A22" s="1" t="s">
        <v>23</v>
      </c>
      <c r="B22" s="1">
        <f t="shared" si="1"/>
        <v>-1625</v>
      </c>
    </row>
    <row r="23" spans="1:2" ht="15" x14ac:dyDescent="0.3">
      <c r="A23" s="1" t="s">
        <v>24</v>
      </c>
      <c r="B23" s="1">
        <f t="shared" si="1"/>
        <v>-1625</v>
      </c>
    </row>
    <row r="24" spans="1:2" ht="15" x14ac:dyDescent="0.3">
      <c r="A24" s="1" t="s">
        <v>223</v>
      </c>
      <c r="B24" s="1">
        <f t="shared" si="1"/>
        <v>-1625</v>
      </c>
    </row>
    <row r="25" spans="1:2" ht="15" x14ac:dyDescent="0.3">
      <c r="A25" s="1" t="s">
        <v>224</v>
      </c>
      <c r="B25" s="1">
        <f t="shared" si="1"/>
        <v>-1625</v>
      </c>
    </row>
    <row r="26" spans="1:2" ht="15" x14ac:dyDescent="0.3">
      <c r="A26" s="1" t="s">
        <v>225</v>
      </c>
      <c r="B26" s="1">
        <f t="shared" si="1"/>
        <v>-1625</v>
      </c>
    </row>
    <row r="27" spans="1:2" ht="15" x14ac:dyDescent="0.3">
      <c r="A27" s="1" t="s">
        <v>226</v>
      </c>
      <c r="B27" s="1">
        <f t="shared" si="1"/>
        <v>-1625</v>
      </c>
    </row>
    <row r="28" spans="1:2" ht="15" x14ac:dyDescent="0.3">
      <c r="A28" s="1" t="s">
        <v>227</v>
      </c>
      <c r="B28" s="1">
        <f t="shared" si="1"/>
        <v>-1625</v>
      </c>
    </row>
    <row r="29" spans="1:2" x14ac:dyDescent="0.3">
      <c r="A29" s="1" t="s">
        <v>228</v>
      </c>
      <c r="B29" s="1">
        <f t="shared" si="1"/>
        <v>-1625</v>
      </c>
    </row>
    <row r="30" spans="1:2" x14ac:dyDescent="0.3">
      <c r="A30" s="1" t="s">
        <v>229</v>
      </c>
      <c r="B30" s="1">
        <f t="shared" si="1"/>
        <v>-1625</v>
      </c>
    </row>
    <row r="31" spans="1:2" x14ac:dyDescent="0.3">
      <c r="A31" s="1" t="s">
        <v>230</v>
      </c>
      <c r="B31" s="1">
        <f t="shared" si="1"/>
        <v>-1625</v>
      </c>
    </row>
    <row r="32" spans="1:2" x14ac:dyDescent="0.3">
      <c r="A32" s="1" t="s">
        <v>231</v>
      </c>
      <c r="B32" s="1">
        <f t="shared" si="1"/>
        <v>-1625</v>
      </c>
    </row>
    <row r="33" spans="1:2" x14ac:dyDescent="0.3">
      <c r="A33" s="1" t="s">
        <v>232</v>
      </c>
      <c r="B33" s="1">
        <f t="shared" si="1"/>
        <v>-1625</v>
      </c>
    </row>
    <row r="34" spans="1:2" x14ac:dyDescent="0.3">
      <c r="A34" s="1" t="s">
        <v>233</v>
      </c>
      <c r="B34" s="30"/>
    </row>
  </sheetData>
  <pageMargins left="0.75" right="0.75" top="1" bottom="1" header="0.5" footer="0.5"/>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X34"/>
  <sheetViews>
    <sheetView zoomScale="85" workbookViewId="0">
      <selection activeCell="B15" sqref="B15"/>
    </sheetView>
  </sheetViews>
  <sheetFormatPr defaultRowHeight="14.4" x14ac:dyDescent="0.3"/>
  <cols>
    <col min="1" max="1" width="25.6640625" customWidth="1"/>
    <col min="2" max="2" width="14" customWidth="1"/>
    <col min="3" max="3" width="3.6640625" customWidth="1"/>
    <col min="4" max="7" width="6" customWidth="1"/>
    <col min="8" max="8" width="10.5546875" customWidth="1"/>
    <col min="9" max="9" width="11.6640625" bestFit="1" customWidth="1"/>
    <col min="10" max="24" width="6" customWidth="1"/>
    <col min="257" max="257" width="25.6640625" customWidth="1"/>
    <col min="258" max="258" width="14" customWidth="1"/>
    <col min="259" max="259" width="3.6640625" customWidth="1"/>
    <col min="260" max="263" width="6" customWidth="1"/>
    <col min="264" max="264" width="10.5546875" customWidth="1"/>
    <col min="265" max="265" width="11.6640625" bestFit="1" customWidth="1"/>
    <col min="266" max="280" width="6" customWidth="1"/>
    <col min="513" max="513" width="25.6640625" customWidth="1"/>
    <col min="514" max="514" width="14" customWidth="1"/>
    <col min="515" max="515" width="3.6640625" customWidth="1"/>
    <col min="516" max="519" width="6" customWidth="1"/>
    <col min="520" max="520" width="10.5546875" customWidth="1"/>
    <col min="521" max="521" width="11.6640625" bestFit="1" customWidth="1"/>
    <col min="522" max="536" width="6" customWidth="1"/>
    <col min="769" max="769" width="25.6640625" customWidth="1"/>
    <col min="770" max="770" width="14" customWidth="1"/>
    <col min="771" max="771" width="3.6640625" customWidth="1"/>
    <col min="772" max="775" width="6" customWidth="1"/>
    <col min="776" max="776" width="10.5546875" customWidth="1"/>
    <col min="777" max="777" width="11.6640625" bestFit="1" customWidth="1"/>
    <col min="778" max="792" width="6" customWidth="1"/>
    <col min="1025" max="1025" width="25.6640625" customWidth="1"/>
    <col min="1026" max="1026" width="14" customWidth="1"/>
    <col min="1027" max="1027" width="3.6640625" customWidth="1"/>
    <col min="1028" max="1031" width="6" customWidth="1"/>
    <col min="1032" max="1032" width="10.5546875" customWidth="1"/>
    <col min="1033" max="1033" width="11.6640625" bestFit="1" customWidth="1"/>
    <col min="1034" max="1048" width="6" customWidth="1"/>
    <col min="1281" max="1281" width="25.6640625" customWidth="1"/>
    <col min="1282" max="1282" width="14" customWidth="1"/>
    <col min="1283" max="1283" width="3.6640625" customWidth="1"/>
    <col min="1284" max="1287" width="6" customWidth="1"/>
    <col min="1288" max="1288" width="10.5546875" customWidth="1"/>
    <col min="1289" max="1289" width="11.6640625" bestFit="1" customWidth="1"/>
    <col min="1290" max="1304" width="6" customWidth="1"/>
    <col min="1537" max="1537" width="25.6640625" customWidth="1"/>
    <col min="1538" max="1538" width="14" customWidth="1"/>
    <col min="1539" max="1539" width="3.6640625" customWidth="1"/>
    <col min="1540" max="1543" width="6" customWidth="1"/>
    <col min="1544" max="1544" width="10.5546875" customWidth="1"/>
    <col min="1545" max="1545" width="11.6640625" bestFit="1" customWidth="1"/>
    <col min="1546" max="1560" width="6" customWidth="1"/>
    <col min="1793" max="1793" width="25.6640625" customWidth="1"/>
    <col min="1794" max="1794" width="14" customWidth="1"/>
    <col min="1795" max="1795" width="3.6640625" customWidth="1"/>
    <col min="1796" max="1799" width="6" customWidth="1"/>
    <col min="1800" max="1800" width="10.5546875" customWidth="1"/>
    <col min="1801" max="1801" width="11.6640625" bestFit="1" customWidth="1"/>
    <col min="1802" max="1816" width="6" customWidth="1"/>
    <col min="2049" max="2049" width="25.6640625" customWidth="1"/>
    <col min="2050" max="2050" width="14" customWidth="1"/>
    <col min="2051" max="2051" width="3.6640625" customWidth="1"/>
    <col min="2052" max="2055" width="6" customWidth="1"/>
    <col min="2056" max="2056" width="10.5546875" customWidth="1"/>
    <col min="2057" max="2057" width="11.6640625" bestFit="1" customWidth="1"/>
    <col min="2058" max="2072" width="6" customWidth="1"/>
    <col min="2305" max="2305" width="25.6640625" customWidth="1"/>
    <col min="2306" max="2306" width="14" customWidth="1"/>
    <col min="2307" max="2307" width="3.6640625" customWidth="1"/>
    <col min="2308" max="2311" width="6" customWidth="1"/>
    <col min="2312" max="2312" width="10.5546875" customWidth="1"/>
    <col min="2313" max="2313" width="11.6640625" bestFit="1" customWidth="1"/>
    <col min="2314" max="2328" width="6" customWidth="1"/>
    <col min="2561" max="2561" width="25.6640625" customWidth="1"/>
    <col min="2562" max="2562" width="14" customWidth="1"/>
    <col min="2563" max="2563" width="3.6640625" customWidth="1"/>
    <col min="2564" max="2567" width="6" customWidth="1"/>
    <col min="2568" max="2568" width="10.5546875" customWidth="1"/>
    <col min="2569" max="2569" width="11.6640625" bestFit="1" customWidth="1"/>
    <col min="2570" max="2584" width="6" customWidth="1"/>
    <col min="2817" max="2817" width="25.6640625" customWidth="1"/>
    <col min="2818" max="2818" width="14" customWidth="1"/>
    <col min="2819" max="2819" width="3.6640625" customWidth="1"/>
    <col min="2820" max="2823" width="6" customWidth="1"/>
    <col min="2824" max="2824" width="10.5546875" customWidth="1"/>
    <col min="2825" max="2825" width="11.6640625" bestFit="1" customWidth="1"/>
    <col min="2826" max="2840" width="6" customWidth="1"/>
    <col min="3073" max="3073" width="25.6640625" customWidth="1"/>
    <col min="3074" max="3074" width="14" customWidth="1"/>
    <col min="3075" max="3075" width="3.6640625" customWidth="1"/>
    <col min="3076" max="3079" width="6" customWidth="1"/>
    <col min="3080" max="3080" width="10.5546875" customWidth="1"/>
    <col min="3081" max="3081" width="11.6640625" bestFit="1" customWidth="1"/>
    <col min="3082" max="3096" width="6" customWidth="1"/>
    <col min="3329" max="3329" width="25.6640625" customWidth="1"/>
    <col min="3330" max="3330" width="14" customWidth="1"/>
    <col min="3331" max="3331" width="3.6640625" customWidth="1"/>
    <col min="3332" max="3335" width="6" customWidth="1"/>
    <col min="3336" max="3336" width="10.5546875" customWidth="1"/>
    <col min="3337" max="3337" width="11.6640625" bestFit="1" customWidth="1"/>
    <col min="3338" max="3352" width="6" customWidth="1"/>
    <col min="3585" max="3585" width="25.6640625" customWidth="1"/>
    <col min="3586" max="3586" width="14" customWidth="1"/>
    <col min="3587" max="3587" width="3.6640625" customWidth="1"/>
    <col min="3588" max="3591" width="6" customWidth="1"/>
    <col min="3592" max="3592" width="10.5546875" customWidth="1"/>
    <col min="3593" max="3593" width="11.6640625" bestFit="1" customWidth="1"/>
    <col min="3594" max="3608" width="6" customWidth="1"/>
    <col min="3841" max="3841" width="25.6640625" customWidth="1"/>
    <col min="3842" max="3842" width="14" customWidth="1"/>
    <col min="3843" max="3843" width="3.6640625" customWidth="1"/>
    <col min="3844" max="3847" width="6" customWidth="1"/>
    <col min="3848" max="3848" width="10.5546875" customWidth="1"/>
    <col min="3849" max="3849" width="11.6640625" bestFit="1" customWidth="1"/>
    <col min="3850" max="3864" width="6" customWidth="1"/>
    <col min="4097" max="4097" width="25.6640625" customWidth="1"/>
    <col min="4098" max="4098" width="14" customWidth="1"/>
    <col min="4099" max="4099" width="3.6640625" customWidth="1"/>
    <col min="4100" max="4103" width="6" customWidth="1"/>
    <col min="4104" max="4104" width="10.5546875" customWidth="1"/>
    <col min="4105" max="4105" width="11.6640625" bestFit="1" customWidth="1"/>
    <col min="4106" max="4120" width="6" customWidth="1"/>
    <col min="4353" max="4353" width="25.6640625" customWidth="1"/>
    <col min="4354" max="4354" width="14" customWidth="1"/>
    <col min="4355" max="4355" width="3.6640625" customWidth="1"/>
    <col min="4356" max="4359" width="6" customWidth="1"/>
    <col min="4360" max="4360" width="10.5546875" customWidth="1"/>
    <col min="4361" max="4361" width="11.6640625" bestFit="1" customWidth="1"/>
    <col min="4362" max="4376" width="6" customWidth="1"/>
    <col min="4609" max="4609" width="25.6640625" customWidth="1"/>
    <col min="4610" max="4610" width="14" customWidth="1"/>
    <col min="4611" max="4611" width="3.6640625" customWidth="1"/>
    <col min="4612" max="4615" width="6" customWidth="1"/>
    <col min="4616" max="4616" width="10.5546875" customWidth="1"/>
    <col min="4617" max="4617" width="11.6640625" bestFit="1" customWidth="1"/>
    <col min="4618" max="4632" width="6" customWidth="1"/>
    <col min="4865" max="4865" width="25.6640625" customWidth="1"/>
    <col min="4866" max="4866" width="14" customWidth="1"/>
    <col min="4867" max="4867" width="3.6640625" customWidth="1"/>
    <col min="4868" max="4871" width="6" customWidth="1"/>
    <col min="4872" max="4872" width="10.5546875" customWidth="1"/>
    <col min="4873" max="4873" width="11.6640625" bestFit="1" customWidth="1"/>
    <col min="4874" max="4888" width="6" customWidth="1"/>
    <col min="5121" max="5121" width="25.6640625" customWidth="1"/>
    <col min="5122" max="5122" width="14" customWidth="1"/>
    <col min="5123" max="5123" width="3.6640625" customWidth="1"/>
    <col min="5124" max="5127" width="6" customWidth="1"/>
    <col min="5128" max="5128" width="10.5546875" customWidth="1"/>
    <col min="5129" max="5129" width="11.6640625" bestFit="1" customWidth="1"/>
    <col min="5130" max="5144" width="6" customWidth="1"/>
    <col min="5377" max="5377" width="25.6640625" customWidth="1"/>
    <col min="5378" max="5378" width="14" customWidth="1"/>
    <col min="5379" max="5379" width="3.6640625" customWidth="1"/>
    <col min="5380" max="5383" width="6" customWidth="1"/>
    <col min="5384" max="5384" width="10.5546875" customWidth="1"/>
    <col min="5385" max="5385" width="11.6640625" bestFit="1" customWidth="1"/>
    <col min="5386" max="5400" width="6" customWidth="1"/>
    <col min="5633" max="5633" width="25.6640625" customWidth="1"/>
    <col min="5634" max="5634" width="14" customWidth="1"/>
    <col min="5635" max="5635" width="3.6640625" customWidth="1"/>
    <col min="5636" max="5639" width="6" customWidth="1"/>
    <col min="5640" max="5640" width="10.5546875" customWidth="1"/>
    <col min="5641" max="5641" width="11.6640625" bestFit="1" customWidth="1"/>
    <col min="5642" max="5656" width="6" customWidth="1"/>
    <col min="5889" max="5889" width="25.6640625" customWidth="1"/>
    <col min="5890" max="5890" width="14" customWidth="1"/>
    <col min="5891" max="5891" width="3.6640625" customWidth="1"/>
    <col min="5892" max="5895" width="6" customWidth="1"/>
    <col min="5896" max="5896" width="10.5546875" customWidth="1"/>
    <col min="5897" max="5897" width="11.6640625" bestFit="1" customWidth="1"/>
    <col min="5898" max="5912" width="6" customWidth="1"/>
    <col min="6145" max="6145" width="25.6640625" customWidth="1"/>
    <col min="6146" max="6146" width="14" customWidth="1"/>
    <col min="6147" max="6147" width="3.6640625" customWidth="1"/>
    <col min="6148" max="6151" width="6" customWidth="1"/>
    <col min="6152" max="6152" width="10.5546875" customWidth="1"/>
    <col min="6153" max="6153" width="11.6640625" bestFit="1" customWidth="1"/>
    <col min="6154" max="6168" width="6" customWidth="1"/>
    <col min="6401" max="6401" width="25.6640625" customWidth="1"/>
    <col min="6402" max="6402" width="14" customWidth="1"/>
    <col min="6403" max="6403" width="3.6640625" customWidth="1"/>
    <col min="6404" max="6407" width="6" customWidth="1"/>
    <col min="6408" max="6408" width="10.5546875" customWidth="1"/>
    <col min="6409" max="6409" width="11.6640625" bestFit="1" customWidth="1"/>
    <col min="6410" max="6424" width="6" customWidth="1"/>
    <col min="6657" max="6657" width="25.6640625" customWidth="1"/>
    <col min="6658" max="6658" width="14" customWidth="1"/>
    <col min="6659" max="6659" width="3.6640625" customWidth="1"/>
    <col min="6660" max="6663" width="6" customWidth="1"/>
    <col min="6664" max="6664" width="10.5546875" customWidth="1"/>
    <col min="6665" max="6665" width="11.6640625" bestFit="1" customWidth="1"/>
    <col min="6666" max="6680" width="6" customWidth="1"/>
    <col min="6913" max="6913" width="25.6640625" customWidth="1"/>
    <col min="6914" max="6914" width="14" customWidth="1"/>
    <col min="6915" max="6915" width="3.6640625" customWidth="1"/>
    <col min="6916" max="6919" width="6" customWidth="1"/>
    <col min="6920" max="6920" width="10.5546875" customWidth="1"/>
    <col min="6921" max="6921" width="11.6640625" bestFit="1" customWidth="1"/>
    <col min="6922" max="6936" width="6" customWidth="1"/>
    <col min="7169" max="7169" width="25.6640625" customWidth="1"/>
    <col min="7170" max="7170" width="14" customWidth="1"/>
    <col min="7171" max="7171" width="3.6640625" customWidth="1"/>
    <col min="7172" max="7175" width="6" customWidth="1"/>
    <col min="7176" max="7176" width="10.5546875" customWidth="1"/>
    <col min="7177" max="7177" width="11.6640625" bestFit="1" customWidth="1"/>
    <col min="7178" max="7192" width="6" customWidth="1"/>
    <col min="7425" max="7425" width="25.6640625" customWidth="1"/>
    <col min="7426" max="7426" width="14" customWidth="1"/>
    <col min="7427" max="7427" width="3.6640625" customWidth="1"/>
    <col min="7428" max="7431" width="6" customWidth="1"/>
    <col min="7432" max="7432" width="10.5546875" customWidth="1"/>
    <col min="7433" max="7433" width="11.6640625" bestFit="1" customWidth="1"/>
    <col min="7434" max="7448" width="6" customWidth="1"/>
    <col min="7681" max="7681" width="25.6640625" customWidth="1"/>
    <col min="7682" max="7682" width="14" customWidth="1"/>
    <col min="7683" max="7683" width="3.6640625" customWidth="1"/>
    <col min="7684" max="7687" width="6" customWidth="1"/>
    <col min="7688" max="7688" width="10.5546875" customWidth="1"/>
    <col min="7689" max="7689" width="11.6640625" bestFit="1" customWidth="1"/>
    <col min="7690" max="7704" width="6" customWidth="1"/>
    <col min="7937" max="7937" width="25.6640625" customWidth="1"/>
    <col min="7938" max="7938" width="14" customWidth="1"/>
    <col min="7939" max="7939" width="3.6640625" customWidth="1"/>
    <col min="7940" max="7943" width="6" customWidth="1"/>
    <col min="7944" max="7944" width="10.5546875" customWidth="1"/>
    <col min="7945" max="7945" width="11.6640625" bestFit="1" customWidth="1"/>
    <col min="7946" max="7960" width="6" customWidth="1"/>
    <col min="8193" max="8193" width="25.6640625" customWidth="1"/>
    <col min="8194" max="8194" width="14" customWidth="1"/>
    <col min="8195" max="8195" width="3.6640625" customWidth="1"/>
    <col min="8196" max="8199" width="6" customWidth="1"/>
    <col min="8200" max="8200" width="10.5546875" customWidth="1"/>
    <col min="8201" max="8201" width="11.6640625" bestFit="1" customWidth="1"/>
    <col min="8202" max="8216" width="6" customWidth="1"/>
    <col min="8449" max="8449" width="25.6640625" customWidth="1"/>
    <col min="8450" max="8450" width="14" customWidth="1"/>
    <col min="8451" max="8451" width="3.6640625" customWidth="1"/>
    <col min="8452" max="8455" width="6" customWidth="1"/>
    <col min="8456" max="8456" width="10.5546875" customWidth="1"/>
    <col min="8457" max="8457" width="11.6640625" bestFit="1" customWidth="1"/>
    <col min="8458" max="8472" width="6" customWidth="1"/>
    <col min="8705" max="8705" width="25.6640625" customWidth="1"/>
    <col min="8706" max="8706" width="14" customWidth="1"/>
    <col min="8707" max="8707" width="3.6640625" customWidth="1"/>
    <col min="8708" max="8711" width="6" customWidth="1"/>
    <col min="8712" max="8712" width="10.5546875" customWidth="1"/>
    <col min="8713" max="8713" width="11.6640625" bestFit="1" customWidth="1"/>
    <col min="8714" max="8728" width="6" customWidth="1"/>
    <col min="8961" max="8961" width="25.6640625" customWidth="1"/>
    <col min="8962" max="8962" width="14" customWidth="1"/>
    <col min="8963" max="8963" width="3.6640625" customWidth="1"/>
    <col min="8964" max="8967" width="6" customWidth="1"/>
    <col min="8968" max="8968" width="10.5546875" customWidth="1"/>
    <col min="8969" max="8969" width="11.6640625" bestFit="1" customWidth="1"/>
    <col min="8970" max="8984" width="6" customWidth="1"/>
    <col min="9217" max="9217" width="25.6640625" customWidth="1"/>
    <col min="9218" max="9218" width="14" customWidth="1"/>
    <col min="9219" max="9219" width="3.6640625" customWidth="1"/>
    <col min="9220" max="9223" width="6" customWidth="1"/>
    <col min="9224" max="9224" width="10.5546875" customWidth="1"/>
    <col min="9225" max="9225" width="11.6640625" bestFit="1" customWidth="1"/>
    <col min="9226" max="9240" width="6" customWidth="1"/>
    <col min="9473" max="9473" width="25.6640625" customWidth="1"/>
    <col min="9474" max="9474" width="14" customWidth="1"/>
    <col min="9475" max="9475" width="3.6640625" customWidth="1"/>
    <col min="9476" max="9479" width="6" customWidth="1"/>
    <col min="9480" max="9480" width="10.5546875" customWidth="1"/>
    <col min="9481" max="9481" width="11.6640625" bestFit="1" customWidth="1"/>
    <col min="9482" max="9496" width="6" customWidth="1"/>
    <col min="9729" max="9729" width="25.6640625" customWidth="1"/>
    <col min="9730" max="9730" width="14" customWidth="1"/>
    <col min="9731" max="9731" width="3.6640625" customWidth="1"/>
    <col min="9732" max="9735" width="6" customWidth="1"/>
    <col min="9736" max="9736" width="10.5546875" customWidth="1"/>
    <col min="9737" max="9737" width="11.6640625" bestFit="1" customWidth="1"/>
    <col min="9738" max="9752" width="6" customWidth="1"/>
    <col min="9985" max="9985" width="25.6640625" customWidth="1"/>
    <col min="9986" max="9986" width="14" customWidth="1"/>
    <col min="9987" max="9987" width="3.6640625" customWidth="1"/>
    <col min="9988" max="9991" width="6" customWidth="1"/>
    <col min="9992" max="9992" width="10.5546875" customWidth="1"/>
    <col min="9993" max="9993" width="11.6640625" bestFit="1" customWidth="1"/>
    <col min="9994" max="10008" width="6" customWidth="1"/>
    <col min="10241" max="10241" width="25.6640625" customWidth="1"/>
    <col min="10242" max="10242" width="14" customWidth="1"/>
    <col min="10243" max="10243" width="3.6640625" customWidth="1"/>
    <col min="10244" max="10247" width="6" customWidth="1"/>
    <col min="10248" max="10248" width="10.5546875" customWidth="1"/>
    <col min="10249" max="10249" width="11.6640625" bestFit="1" customWidth="1"/>
    <col min="10250" max="10264" width="6" customWidth="1"/>
    <col min="10497" max="10497" width="25.6640625" customWidth="1"/>
    <col min="10498" max="10498" width="14" customWidth="1"/>
    <col min="10499" max="10499" width="3.6640625" customWidth="1"/>
    <col min="10500" max="10503" width="6" customWidth="1"/>
    <col min="10504" max="10504" width="10.5546875" customWidth="1"/>
    <col min="10505" max="10505" width="11.6640625" bestFit="1" customWidth="1"/>
    <col min="10506" max="10520" width="6" customWidth="1"/>
    <col min="10753" max="10753" width="25.6640625" customWidth="1"/>
    <col min="10754" max="10754" width="14" customWidth="1"/>
    <col min="10755" max="10755" width="3.6640625" customWidth="1"/>
    <col min="10756" max="10759" width="6" customWidth="1"/>
    <col min="10760" max="10760" width="10.5546875" customWidth="1"/>
    <col min="10761" max="10761" width="11.6640625" bestFit="1" customWidth="1"/>
    <col min="10762" max="10776" width="6" customWidth="1"/>
    <col min="11009" max="11009" width="25.6640625" customWidth="1"/>
    <col min="11010" max="11010" width="14" customWidth="1"/>
    <col min="11011" max="11011" width="3.6640625" customWidth="1"/>
    <col min="11012" max="11015" width="6" customWidth="1"/>
    <col min="11016" max="11016" width="10.5546875" customWidth="1"/>
    <col min="11017" max="11017" width="11.6640625" bestFit="1" customWidth="1"/>
    <col min="11018" max="11032" width="6" customWidth="1"/>
    <col min="11265" max="11265" width="25.6640625" customWidth="1"/>
    <col min="11266" max="11266" width="14" customWidth="1"/>
    <col min="11267" max="11267" width="3.6640625" customWidth="1"/>
    <col min="11268" max="11271" width="6" customWidth="1"/>
    <col min="11272" max="11272" width="10.5546875" customWidth="1"/>
    <col min="11273" max="11273" width="11.6640625" bestFit="1" customWidth="1"/>
    <col min="11274" max="11288" width="6" customWidth="1"/>
    <col min="11521" max="11521" width="25.6640625" customWidth="1"/>
    <col min="11522" max="11522" width="14" customWidth="1"/>
    <col min="11523" max="11523" width="3.6640625" customWidth="1"/>
    <col min="11524" max="11527" width="6" customWidth="1"/>
    <col min="11528" max="11528" width="10.5546875" customWidth="1"/>
    <col min="11529" max="11529" width="11.6640625" bestFit="1" customWidth="1"/>
    <col min="11530" max="11544" width="6" customWidth="1"/>
    <col min="11777" max="11777" width="25.6640625" customWidth="1"/>
    <col min="11778" max="11778" width="14" customWidth="1"/>
    <col min="11779" max="11779" width="3.6640625" customWidth="1"/>
    <col min="11780" max="11783" width="6" customWidth="1"/>
    <col min="11784" max="11784" width="10.5546875" customWidth="1"/>
    <col min="11785" max="11785" width="11.6640625" bestFit="1" customWidth="1"/>
    <col min="11786" max="11800" width="6" customWidth="1"/>
    <col min="12033" max="12033" width="25.6640625" customWidth="1"/>
    <col min="12034" max="12034" width="14" customWidth="1"/>
    <col min="12035" max="12035" width="3.6640625" customWidth="1"/>
    <col min="12036" max="12039" width="6" customWidth="1"/>
    <col min="12040" max="12040" width="10.5546875" customWidth="1"/>
    <col min="12041" max="12041" width="11.6640625" bestFit="1" customWidth="1"/>
    <col min="12042" max="12056" width="6" customWidth="1"/>
    <col min="12289" max="12289" width="25.6640625" customWidth="1"/>
    <col min="12290" max="12290" width="14" customWidth="1"/>
    <col min="12291" max="12291" width="3.6640625" customWidth="1"/>
    <col min="12292" max="12295" width="6" customWidth="1"/>
    <col min="12296" max="12296" width="10.5546875" customWidth="1"/>
    <col min="12297" max="12297" width="11.6640625" bestFit="1" customWidth="1"/>
    <col min="12298" max="12312" width="6" customWidth="1"/>
    <col min="12545" max="12545" width="25.6640625" customWidth="1"/>
    <col min="12546" max="12546" width="14" customWidth="1"/>
    <col min="12547" max="12547" width="3.6640625" customWidth="1"/>
    <col min="12548" max="12551" width="6" customWidth="1"/>
    <col min="12552" max="12552" width="10.5546875" customWidth="1"/>
    <col min="12553" max="12553" width="11.6640625" bestFit="1" customWidth="1"/>
    <col min="12554" max="12568" width="6" customWidth="1"/>
    <col min="12801" max="12801" width="25.6640625" customWidth="1"/>
    <col min="12802" max="12802" width="14" customWidth="1"/>
    <col min="12803" max="12803" width="3.6640625" customWidth="1"/>
    <col min="12804" max="12807" width="6" customWidth="1"/>
    <col min="12808" max="12808" width="10.5546875" customWidth="1"/>
    <col min="12809" max="12809" width="11.6640625" bestFit="1" customWidth="1"/>
    <col min="12810" max="12824" width="6" customWidth="1"/>
    <col min="13057" max="13057" width="25.6640625" customWidth="1"/>
    <col min="13058" max="13058" width="14" customWidth="1"/>
    <col min="13059" max="13059" width="3.6640625" customWidth="1"/>
    <col min="13060" max="13063" width="6" customWidth="1"/>
    <col min="13064" max="13064" width="10.5546875" customWidth="1"/>
    <col min="13065" max="13065" width="11.6640625" bestFit="1" customWidth="1"/>
    <col min="13066" max="13080" width="6" customWidth="1"/>
    <col min="13313" max="13313" width="25.6640625" customWidth="1"/>
    <col min="13314" max="13314" width="14" customWidth="1"/>
    <col min="13315" max="13315" width="3.6640625" customWidth="1"/>
    <col min="13316" max="13319" width="6" customWidth="1"/>
    <col min="13320" max="13320" width="10.5546875" customWidth="1"/>
    <col min="13321" max="13321" width="11.6640625" bestFit="1" customWidth="1"/>
    <col min="13322" max="13336" width="6" customWidth="1"/>
    <col min="13569" max="13569" width="25.6640625" customWidth="1"/>
    <col min="13570" max="13570" width="14" customWidth="1"/>
    <col min="13571" max="13571" width="3.6640625" customWidth="1"/>
    <col min="13572" max="13575" width="6" customWidth="1"/>
    <col min="13576" max="13576" width="10.5546875" customWidth="1"/>
    <col min="13577" max="13577" width="11.6640625" bestFit="1" customWidth="1"/>
    <col min="13578" max="13592" width="6" customWidth="1"/>
    <col min="13825" max="13825" width="25.6640625" customWidth="1"/>
    <col min="13826" max="13826" width="14" customWidth="1"/>
    <col min="13827" max="13827" width="3.6640625" customWidth="1"/>
    <col min="13828" max="13831" width="6" customWidth="1"/>
    <col min="13832" max="13832" width="10.5546875" customWidth="1"/>
    <col min="13833" max="13833" width="11.6640625" bestFit="1" customWidth="1"/>
    <col min="13834" max="13848" width="6" customWidth="1"/>
    <col min="14081" max="14081" width="25.6640625" customWidth="1"/>
    <col min="14082" max="14082" width="14" customWidth="1"/>
    <col min="14083" max="14083" width="3.6640625" customWidth="1"/>
    <col min="14084" max="14087" width="6" customWidth="1"/>
    <col min="14088" max="14088" width="10.5546875" customWidth="1"/>
    <col min="14089" max="14089" width="11.6640625" bestFit="1" customWidth="1"/>
    <col min="14090" max="14104" width="6" customWidth="1"/>
    <col min="14337" max="14337" width="25.6640625" customWidth="1"/>
    <col min="14338" max="14338" width="14" customWidth="1"/>
    <col min="14339" max="14339" width="3.6640625" customWidth="1"/>
    <col min="14340" max="14343" width="6" customWidth="1"/>
    <col min="14344" max="14344" width="10.5546875" customWidth="1"/>
    <col min="14345" max="14345" width="11.6640625" bestFit="1" customWidth="1"/>
    <col min="14346" max="14360" width="6" customWidth="1"/>
    <col min="14593" max="14593" width="25.6640625" customWidth="1"/>
    <col min="14594" max="14594" width="14" customWidth="1"/>
    <col min="14595" max="14595" width="3.6640625" customWidth="1"/>
    <col min="14596" max="14599" width="6" customWidth="1"/>
    <col min="14600" max="14600" width="10.5546875" customWidth="1"/>
    <col min="14601" max="14601" width="11.6640625" bestFit="1" customWidth="1"/>
    <col min="14602" max="14616" width="6" customWidth="1"/>
    <col min="14849" max="14849" width="25.6640625" customWidth="1"/>
    <col min="14850" max="14850" width="14" customWidth="1"/>
    <col min="14851" max="14851" width="3.6640625" customWidth="1"/>
    <col min="14852" max="14855" width="6" customWidth="1"/>
    <col min="14856" max="14856" width="10.5546875" customWidth="1"/>
    <col min="14857" max="14857" width="11.6640625" bestFit="1" customWidth="1"/>
    <col min="14858" max="14872" width="6" customWidth="1"/>
    <col min="15105" max="15105" width="25.6640625" customWidth="1"/>
    <col min="15106" max="15106" width="14" customWidth="1"/>
    <col min="15107" max="15107" width="3.6640625" customWidth="1"/>
    <col min="15108" max="15111" width="6" customWidth="1"/>
    <col min="15112" max="15112" width="10.5546875" customWidth="1"/>
    <col min="15113" max="15113" width="11.6640625" bestFit="1" customWidth="1"/>
    <col min="15114" max="15128" width="6" customWidth="1"/>
    <col min="15361" max="15361" width="25.6640625" customWidth="1"/>
    <col min="15362" max="15362" width="14" customWidth="1"/>
    <col min="15363" max="15363" width="3.6640625" customWidth="1"/>
    <col min="15364" max="15367" width="6" customWidth="1"/>
    <col min="15368" max="15368" width="10.5546875" customWidth="1"/>
    <col min="15369" max="15369" width="11.6640625" bestFit="1" customWidth="1"/>
    <col min="15370" max="15384" width="6" customWidth="1"/>
    <col min="15617" max="15617" width="25.6640625" customWidth="1"/>
    <col min="15618" max="15618" width="14" customWidth="1"/>
    <col min="15619" max="15619" width="3.6640625" customWidth="1"/>
    <col min="15620" max="15623" width="6" customWidth="1"/>
    <col min="15624" max="15624" width="10.5546875" customWidth="1"/>
    <col min="15625" max="15625" width="11.6640625" bestFit="1" customWidth="1"/>
    <col min="15626" max="15640" width="6" customWidth="1"/>
    <col min="15873" max="15873" width="25.6640625" customWidth="1"/>
    <col min="15874" max="15874" width="14" customWidth="1"/>
    <col min="15875" max="15875" width="3.6640625" customWidth="1"/>
    <col min="15876" max="15879" width="6" customWidth="1"/>
    <col min="15880" max="15880" width="10.5546875" customWidth="1"/>
    <col min="15881" max="15881" width="11.6640625" bestFit="1" customWidth="1"/>
    <col min="15882" max="15896" width="6" customWidth="1"/>
    <col min="16129" max="16129" width="25.6640625" customWidth="1"/>
    <col min="16130" max="16130" width="14" customWidth="1"/>
    <col min="16131" max="16131" width="3.6640625" customWidth="1"/>
    <col min="16132" max="16135" width="6" customWidth="1"/>
    <col min="16136" max="16136" width="10.5546875" customWidth="1"/>
    <col min="16137" max="16137" width="11.6640625" bestFit="1" customWidth="1"/>
    <col min="16138" max="16152" width="6" customWidth="1"/>
  </cols>
  <sheetData>
    <row r="1" spans="1:24" ht="15" x14ac:dyDescent="0.3">
      <c r="A1" s="40" t="str">
        <f>"Since the first payment is received "&amp;B3&amp;" years from today, and the last payment is received "&amp;B4&amp;" years from now, there are "&amp;COUNT(I10:X10)&amp;" payments."</f>
        <v>Since the first payment is received 6 years from today, and the last payment is received 20 years from now, there are 15 payments.</v>
      </c>
      <c r="B1" s="40"/>
      <c r="C1" s="40"/>
      <c r="D1" s="40"/>
      <c r="E1" s="40"/>
      <c r="F1" s="40"/>
      <c r="G1" s="40"/>
      <c r="H1" s="40"/>
      <c r="I1" s="40"/>
      <c r="J1" s="40"/>
      <c r="K1" s="40"/>
      <c r="L1" s="40"/>
      <c r="M1" s="40"/>
      <c r="N1" s="40"/>
    </row>
    <row r="2" spans="1:24" ht="15" x14ac:dyDescent="0.3">
      <c r="A2" s="49" t="s">
        <v>215</v>
      </c>
      <c r="B2" s="49">
        <v>0</v>
      </c>
    </row>
    <row r="3" spans="1:24" ht="15" x14ac:dyDescent="0.3">
      <c r="A3" s="1" t="s">
        <v>216</v>
      </c>
      <c r="B3" s="1">
        <v>6</v>
      </c>
    </row>
    <row r="4" spans="1:24" ht="15" x14ac:dyDescent="0.3">
      <c r="A4" s="1" t="s">
        <v>217</v>
      </c>
      <c r="B4" s="1">
        <v>20</v>
      </c>
    </row>
    <row r="5" spans="1:24" ht="15" x14ac:dyDescent="0.3">
      <c r="A5" s="1" t="s">
        <v>218</v>
      </c>
      <c r="B5" s="2">
        <f>B4-B3+1</f>
        <v>15</v>
      </c>
    </row>
    <row r="6" spans="1:24" ht="15" x14ac:dyDescent="0.3">
      <c r="A6" s="1" t="s">
        <v>97</v>
      </c>
      <c r="B6" s="1">
        <v>1625</v>
      </c>
    </row>
    <row r="7" spans="1:24" ht="15" x14ac:dyDescent="0.3">
      <c r="A7" s="1" t="s">
        <v>161</v>
      </c>
      <c r="B7" s="1">
        <v>0</v>
      </c>
      <c r="C7" t="s">
        <v>219</v>
      </c>
    </row>
    <row r="8" spans="1:24" ht="15" x14ac:dyDescent="0.3">
      <c r="A8" s="1" t="s">
        <v>150</v>
      </c>
      <c r="B8" s="1">
        <v>7.0000000000000007E-2</v>
      </c>
    </row>
    <row r="9" spans="1:24" ht="15" x14ac:dyDescent="0.3">
      <c r="A9" s="1" t="s">
        <v>220</v>
      </c>
      <c r="B9" s="30">
        <f>PV(B8,B5,B6)</f>
        <v>-14800.360258302364</v>
      </c>
      <c r="D9" s="120">
        <v>0</v>
      </c>
      <c r="E9" s="121">
        <v>1</v>
      </c>
      <c r="F9" s="121">
        <v>2</v>
      </c>
      <c r="G9" s="121">
        <v>3</v>
      </c>
      <c r="H9" s="121">
        <v>4</v>
      </c>
      <c r="I9" s="121">
        <v>5</v>
      </c>
      <c r="J9" s="121">
        <v>6</v>
      </c>
      <c r="K9" s="121">
        <v>7</v>
      </c>
      <c r="L9" s="121">
        <v>8</v>
      </c>
      <c r="M9" s="121">
        <v>9</v>
      </c>
      <c r="N9" s="121">
        <v>10</v>
      </c>
      <c r="O9" s="121">
        <v>11</v>
      </c>
      <c r="P9" s="121">
        <v>12</v>
      </c>
      <c r="Q9" s="121">
        <v>13</v>
      </c>
      <c r="R9" s="121">
        <v>14</v>
      </c>
      <c r="S9" s="121">
        <v>15</v>
      </c>
      <c r="T9" s="121">
        <v>16</v>
      </c>
      <c r="U9" s="121">
        <v>17</v>
      </c>
      <c r="V9" s="121">
        <v>18</v>
      </c>
      <c r="W9" s="121">
        <v>19</v>
      </c>
      <c r="X9" s="122">
        <v>20</v>
      </c>
    </row>
    <row r="10" spans="1:24" ht="15" x14ac:dyDescent="0.3">
      <c r="A10" s="78" t="s">
        <v>221</v>
      </c>
      <c r="B10" s="2">
        <f>B4-B5</f>
        <v>5</v>
      </c>
      <c r="D10" s="123"/>
      <c r="E10" s="28"/>
      <c r="F10" s="28"/>
      <c r="G10" s="28"/>
      <c r="H10" s="28"/>
      <c r="I10" s="124"/>
      <c r="J10" s="124">
        <f t="shared" ref="J10:X10" si="0">$B$6</f>
        <v>1625</v>
      </c>
      <c r="K10" s="124">
        <f t="shared" si="0"/>
        <v>1625</v>
      </c>
      <c r="L10" s="124">
        <f t="shared" si="0"/>
        <v>1625</v>
      </c>
      <c r="M10" s="124">
        <f t="shared" si="0"/>
        <v>1625</v>
      </c>
      <c r="N10" s="124">
        <f t="shared" si="0"/>
        <v>1625</v>
      </c>
      <c r="O10" s="124">
        <f t="shared" si="0"/>
        <v>1625</v>
      </c>
      <c r="P10" s="124">
        <f t="shared" si="0"/>
        <v>1625</v>
      </c>
      <c r="Q10" s="124">
        <f t="shared" si="0"/>
        <v>1625</v>
      </c>
      <c r="R10" s="124">
        <f t="shared" si="0"/>
        <v>1625</v>
      </c>
      <c r="S10" s="124">
        <f t="shared" si="0"/>
        <v>1625</v>
      </c>
      <c r="T10" s="124">
        <f t="shared" si="0"/>
        <v>1625</v>
      </c>
      <c r="U10" s="124">
        <f t="shared" si="0"/>
        <v>1625</v>
      </c>
      <c r="V10" s="124">
        <f t="shared" si="0"/>
        <v>1625</v>
      </c>
      <c r="W10" s="124">
        <f t="shared" si="0"/>
        <v>1625</v>
      </c>
      <c r="X10" s="125">
        <f t="shared" si="0"/>
        <v>1625</v>
      </c>
    </row>
    <row r="11" spans="1:24" ht="15" x14ac:dyDescent="0.3">
      <c r="A11" s="1" t="s">
        <v>222</v>
      </c>
      <c r="B11" s="30">
        <f>PV(B8,B10,,-PV(B8,B5,B6))</f>
        <v>-10552.452315548921</v>
      </c>
      <c r="H11" s="7"/>
      <c r="I11" s="7">
        <f>PV(B8,B5,B6)</f>
        <v>-14800.360258302364</v>
      </c>
    </row>
    <row r="13" spans="1:24" ht="15" x14ac:dyDescent="0.3">
      <c r="A13" s="1" t="s">
        <v>14</v>
      </c>
      <c r="B13" s="1"/>
    </row>
    <row r="14" spans="1:24" ht="15" x14ac:dyDescent="0.3">
      <c r="A14" s="1" t="s">
        <v>15</v>
      </c>
      <c r="B14" s="1">
        <v>0</v>
      </c>
    </row>
    <row r="15" spans="1:24" ht="15" x14ac:dyDescent="0.3">
      <c r="A15" s="1" t="s">
        <v>16</v>
      </c>
      <c r="B15" s="1">
        <v>0</v>
      </c>
    </row>
    <row r="16" spans="1:24" ht="15" x14ac:dyDescent="0.3">
      <c r="A16" s="1" t="s">
        <v>17</v>
      </c>
      <c r="B16" s="1">
        <v>0</v>
      </c>
    </row>
    <row r="17" spans="1:2" ht="15" x14ac:dyDescent="0.3">
      <c r="A17" s="1" t="s">
        <v>18</v>
      </c>
      <c r="B17" s="1">
        <v>0</v>
      </c>
    </row>
    <row r="18" spans="1:2" ht="15" x14ac:dyDescent="0.3">
      <c r="A18" s="1" t="s">
        <v>19</v>
      </c>
      <c r="B18" s="1">
        <v>0</v>
      </c>
    </row>
    <row r="19" spans="1:2" ht="15" x14ac:dyDescent="0.3">
      <c r="A19" s="1" t="s">
        <v>20</v>
      </c>
      <c r="B19" s="1">
        <f t="shared" ref="B19:B33" si="1">-$B$6</f>
        <v>-1625</v>
      </c>
    </row>
    <row r="20" spans="1:2" ht="15" x14ac:dyDescent="0.3">
      <c r="A20" s="1" t="s">
        <v>21</v>
      </c>
      <c r="B20" s="1">
        <f t="shared" si="1"/>
        <v>-1625</v>
      </c>
    </row>
    <row r="21" spans="1:2" ht="15" x14ac:dyDescent="0.3">
      <c r="A21" s="1" t="s">
        <v>22</v>
      </c>
      <c r="B21" s="1">
        <f t="shared" si="1"/>
        <v>-1625</v>
      </c>
    </row>
    <row r="22" spans="1:2" ht="15" x14ac:dyDescent="0.3">
      <c r="A22" s="1" t="s">
        <v>23</v>
      </c>
      <c r="B22" s="1">
        <f t="shared" si="1"/>
        <v>-1625</v>
      </c>
    </row>
    <row r="23" spans="1:2" ht="15" x14ac:dyDescent="0.3">
      <c r="A23" s="1" t="s">
        <v>24</v>
      </c>
      <c r="B23" s="1">
        <f t="shared" si="1"/>
        <v>-1625</v>
      </c>
    </row>
    <row r="24" spans="1:2" ht="15" x14ac:dyDescent="0.3">
      <c r="A24" s="1" t="s">
        <v>223</v>
      </c>
      <c r="B24" s="1">
        <f t="shared" si="1"/>
        <v>-1625</v>
      </c>
    </row>
    <row r="25" spans="1:2" ht="15" x14ac:dyDescent="0.3">
      <c r="A25" s="1" t="s">
        <v>224</v>
      </c>
      <c r="B25" s="1">
        <f t="shared" si="1"/>
        <v>-1625</v>
      </c>
    </row>
    <row r="26" spans="1:2" ht="15" x14ac:dyDescent="0.3">
      <c r="A26" s="1" t="s">
        <v>225</v>
      </c>
      <c r="B26" s="1">
        <f t="shared" si="1"/>
        <v>-1625</v>
      </c>
    </row>
    <row r="27" spans="1:2" ht="15" x14ac:dyDescent="0.3">
      <c r="A27" s="1" t="s">
        <v>226</v>
      </c>
      <c r="B27" s="1">
        <f t="shared" si="1"/>
        <v>-1625</v>
      </c>
    </row>
    <row r="28" spans="1:2" ht="15" x14ac:dyDescent="0.3">
      <c r="A28" s="1" t="s">
        <v>227</v>
      </c>
      <c r="B28" s="1">
        <f t="shared" si="1"/>
        <v>-1625</v>
      </c>
    </row>
    <row r="29" spans="1:2" x14ac:dyDescent="0.3">
      <c r="A29" s="1" t="s">
        <v>228</v>
      </c>
      <c r="B29" s="1">
        <f t="shared" si="1"/>
        <v>-1625</v>
      </c>
    </row>
    <row r="30" spans="1:2" x14ac:dyDescent="0.3">
      <c r="A30" s="1" t="s">
        <v>229</v>
      </c>
      <c r="B30" s="1">
        <f t="shared" si="1"/>
        <v>-1625</v>
      </c>
    </row>
    <row r="31" spans="1:2" x14ac:dyDescent="0.3">
      <c r="A31" s="1" t="s">
        <v>230</v>
      </c>
      <c r="B31" s="1">
        <f t="shared" si="1"/>
        <v>-1625</v>
      </c>
    </row>
    <row r="32" spans="1:2" x14ac:dyDescent="0.3">
      <c r="A32" s="1" t="s">
        <v>231</v>
      </c>
      <c r="B32" s="1">
        <f t="shared" si="1"/>
        <v>-1625</v>
      </c>
    </row>
    <row r="33" spans="1:2" x14ac:dyDescent="0.3">
      <c r="A33" s="1" t="s">
        <v>232</v>
      </c>
      <c r="B33" s="1">
        <f t="shared" si="1"/>
        <v>-1625</v>
      </c>
    </row>
    <row r="34" spans="1:2" x14ac:dyDescent="0.3">
      <c r="A34" s="1" t="s">
        <v>233</v>
      </c>
      <c r="B34" s="30">
        <f>NPV(B8,B14:B33)</f>
        <v>-10552.452315548915</v>
      </c>
    </row>
  </sheetData>
  <pageMargins left="0.75" right="0.75" top="1" bottom="1" header="0.5" footer="0.5"/>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E16"/>
  <sheetViews>
    <sheetView workbookViewId="0">
      <selection activeCell="B15" sqref="B15"/>
    </sheetView>
  </sheetViews>
  <sheetFormatPr defaultRowHeight="14.4" x14ac:dyDescent="0.3"/>
  <cols>
    <col min="1" max="1" width="23.6640625" bestFit="1" customWidth="1"/>
    <col min="2" max="2" width="11.109375" bestFit="1" customWidth="1"/>
    <col min="3" max="3" width="14.33203125" bestFit="1" customWidth="1"/>
    <col min="4" max="5" width="10.33203125" bestFit="1" customWidth="1"/>
    <col min="257" max="257" width="23.6640625" bestFit="1" customWidth="1"/>
    <col min="258" max="258" width="11.109375" bestFit="1" customWidth="1"/>
    <col min="259" max="259" width="14.33203125" bestFit="1" customWidth="1"/>
    <col min="260" max="261" width="10.33203125" bestFit="1" customWidth="1"/>
    <col min="513" max="513" width="23.6640625" bestFit="1" customWidth="1"/>
    <col min="514" max="514" width="11.109375" bestFit="1" customWidth="1"/>
    <col min="515" max="515" width="14.33203125" bestFit="1" customWidth="1"/>
    <col min="516" max="517" width="10.33203125" bestFit="1" customWidth="1"/>
    <col min="769" max="769" width="23.6640625" bestFit="1" customWidth="1"/>
    <col min="770" max="770" width="11.109375" bestFit="1" customWidth="1"/>
    <col min="771" max="771" width="14.33203125" bestFit="1" customWidth="1"/>
    <col min="772" max="773" width="10.33203125" bestFit="1" customWidth="1"/>
    <col min="1025" max="1025" width="23.6640625" bestFit="1" customWidth="1"/>
    <col min="1026" max="1026" width="11.109375" bestFit="1" customWidth="1"/>
    <col min="1027" max="1027" width="14.33203125" bestFit="1" customWidth="1"/>
    <col min="1028" max="1029" width="10.33203125" bestFit="1" customWidth="1"/>
    <col min="1281" max="1281" width="23.6640625" bestFit="1" customWidth="1"/>
    <col min="1282" max="1282" width="11.109375" bestFit="1" customWidth="1"/>
    <col min="1283" max="1283" width="14.33203125" bestFit="1" customWidth="1"/>
    <col min="1284" max="1285" width="10.33203125" bestFit="1" customWidth="1"/>
    <col min="1537" max="1537" width="23.6640625" bestFit="1" customWidth="1"/>
    <col min="1538" max="1538" width="11.109375" bestFit="1" customWidth="1"/>
    <col min="1539" max="1539" width="14.33203125" bestFit="1" customWidth="1"/>
    <col min="1540" max="1541" width="10.33203125" bestFit="1" customWidth="1"/>
    <col min="1793" max="1793" width="23.6640625" bestFit="1" customWidth="1"/>
    <col min="1794" max="1794" width="11.109375" bestFit="1" customWidth="1"/>
    <col min="1795" max="1795" width="14.33203125" bestFit="1" customWidth="1"/>
    <col min="1796" max="1797" width="10.33203125" bestFit="1" customWidth="1"/>
    <col min="2049" max="2049" width="23.6640625" bestFit="1" customWidth="1"/>
    <col min="2050" max="2050" width="11.109375" bestFit="1" customWidth="1"/>
    <col min="2051" max="2051" width="14.33203125" bestFit="1" customWidth="1"/>
    <col min="2052" max="2053" width="10.33203125" bestFit="1" customWidth="1"/>
    <col min="2305" max="2305" width="23.6640625" bestFit="1" customWidth="1"/>
    <col min="2306" max="2306" width="11.109375" bestFit="1" customWidth="1"/>
    <col min="2307" max="2307" width="14.33203125" bestFit="1" customWidth="1"/>
    <col min="2308" max="2309" width="10.33203125" bestFit="1" customWidth="1"/>
    <col min="2561" max="2561" width="23.6640625" bestFit="1" customWidth="1"/>
    <col min="2562" max="2562" width="11.109375" bestFit="1" customWidth="1"/>
    <col min="2563" max="2563" width="14.33203125" bestFit="1" customWidth="1"/>
    <col min="2564" max="2565" width="10.33203125" bestFit="1" customWidth="1"/>
    <col min="2817" max="2817" width="23.6640625" bestFit="1" customWidth="1"/>
    <col min="2818" max="2818" width="11.109375" bestFit="1" customWidth="1"/>
    <col min="2819" max="2819" width="14.33203125" bestFit="1" customWidth="1"/>
    <col min="2820" max="2821" width="10.33203125" bestFit="1" customWidth="1"/>
    <col min="3073" max="3073" width="23.6640625" bestFit="1" customWidth="1"/>
    <col min="3074" max="3074" width="11.109375" bestFit="1" customWidth="1"/>
    <col min="3075" max="3075" width="14.33203125" bestFit="1" customWidth="1"/>
    <col min="3076" max="3077" width="10.33203125" bestFit="1" customWidth="1"/>
    <col min="3329" max="3329" width="23.6640625" bestFit="1" customWidth="1"/>
    <col min="3330" max="3330" width="11.109375" bestFit="1" customWidth="1"/>
    <col min="3331" max="3331" width="14.33203125" bestFit="1" customWidth="1"/>
    <col min="3332" max="3333" width="10.33203125" bestFit="1" customWidth="1"/>
    <col min="3585" max="3585" width="23.6640625" bestFit="1" customWidth="1"/>
    <col min="3586" max="3586" width="11.109375" bestFit="1" customWidth="1"/>
    <col min="3587" max="3587" width="14.33203125" bestFit="1" customWidth="1"/>
    <col min="3588" max="3589" width="10.33203125" bestFit="1" customWidth="1"/>
    <col min="3841" max="3841" width="23.6640625" bestFit="1" customWidth="1"/>
    <col min="3842" max="3842" width="11.109375" bestFit="1" customWidth="1"/>
    <col min="3843" max="3843" width="14.33203125" bestFit="1" customWidth="1"/>
    <col min="3844" max="3845" width="10.33203125" bestFit="1" customWidth="1"/>
    <col min="4097" max="4097" width="23.6640625" bestFit="1" customWidth="1"/>
    <col min="4098" max="4098" width="11.109375" bestFit="1" customWidth="1"/>
    <col min="4099" max="4099" width="14.33203125" bestFit="1" customWidth="1"/>
    <col min="4100" max="4101" width="10.33203125" bestFit="1" customWidth="1"/>
    <col min="4353" max="4353" width="23.6640625" bestFit="1" customWidth="1"/>
    <col min="4354" max="4354" width="11.109375" bestFit="1" customWidth="1"/>
    <col min="4355" max="4355" width="14.33203125" bestFit="1" customWidth="1"/>
    <col min="4356" max="4357" width="10.33203125" bestFit="1" customWidth="1"/>
    <col min="4609" max="4609" width="23.6640625" bestFit="1" customWidth="1"/>
    <col min="4610" max="4610" width="11.109375" bestFit="1" customWidth="1"/>
    <col min="4611" max="4611" width="14.33203125" bestFit="1" customWidth="1"/>
    <col min="4612" max="4613" width="10.33203125" bestFit="1" customWidth="1"/>
    <col min="4865" max="4865" width="23.6640625" bestFit="1" customWidth="1"/>
    <col min="4866" max="4866" width="11.109375" bestFit="1" customWidth="1"/>
    <col min="4867" max="4867" width="14.33203125" bestFit="1" customWidth="1"/>
    <col min="4868" max="4869" width="10.33203125" bestFit="1" customWidth="1"/>
    <col min="5121" max="5121" width="23.6640625" bestFit="1" customWidth="1"/>
    <col min="5122" max="5122" width="11.109375" bestFit="1" customWidth="1"/>
    <col min="5123" max="5123" width="14.33203125" bestFit="1" customWidth="1"/>
    <col min="5124" max="5125" width="10.33203125" bestFit="1" customWidth="1"/>
    <col min="5377" max="5377" width="23.6640625" bestFit="1" customWidth="1"/>
    <col min="5378" max="5378" width="11.109375" bestFit="1" customWidth="1"/>
    <col min="5379" max="5379" width="14.33203125" bestFit="1" customWidth="1"/>
    <col min="5380" max="5381" width="10.33203125" bestFit="1" customWidth="1"/>
    <col min="5633" max="5633" width="23.6640625" bestFit="1" customWidth="1"/>
    <col min="5634" max="5634" width="11.109375" bestFit="1" customWidth="1"/>
    <col min="5635" max="5635" width="14.33203125" bestFit="1" customWidth="1"/>
    <col min="5636" max="5637" width="10.33203125" bestFit="1" customWidth="1"/>
    <col min="5889" max="5889" width="23.6640625" bestFit="1" customWidth="1"/>
    <col min="5890" max="5890" width="11.109375" bestFit="1" customWidth="1"/>
    <col min="5891" max="5891" width="14.33203125" bestFit="1" customWidth="1"/>
    <col min="5892" max="5893" width="10.33203125" bestFit="1" customWidth="1"/>
    <col min="6145" max="6145" width="23.6640625" bestFit="1" customWidth="1"/>
    <col min="6146" max="6146" width="11.109375" bestFit="1" customWidth="1"/>
    <col min="6147" max="6147" width="14.33203125" bestFit="1" customWidth="1"/>
    <col min="6148" max="6149" width="10.33203125" bestFit="1" customWidth="1"/>
    <col min="6401" max="6401" width="23.6640625" bestFit="1" customWidth="1"/>
    <col min="6402" max="6402" width="11.109375" bestFit="1" customWidth="1"/>
    <col min="6403" max="6403" width="14.33203125" bestFit="1" customWidth="1"/>
    <col min="6404" max="6405" width="10.33203125" bestFit="1" customWidth="1"/>
    <col min="6657" max="6657" width="23.6640625" bestFit="1" customWidth="1"/>
    <col min="6658" max="6658" width="11.109375" bestFit="1" customWidth="1"/>
    <col min="6659" max="6659" width="14.33203125" bestFit="1" customWidth="1"/>
    <col min="6660" max="6661" width="10.33203125" bestFit="1" customWidth="1"/>
    <col min="6913" max="6913" width="23.6640625" bestFit="1" customWidth="1"/>
    <col min="6914" max="6914" width="11.109375" bestFit="1" customWidth="1"/>
    <col min="6915" max="6915" width="14.33203125" bestFit="1" customWidth="1"/>
    <col min="6916" max="6917" width="10.33203125" bestFit="1" customWidth="1"/>
    <col min="7169" max="7169" width="23.6640625" bestFit="1" customWidth="1"/>
    <col min="7170" max="7170" width="11.109375" bestFit="1" customWidth="1"/>
    <col min="7171" max="7171" width="14.33203125" bestFit="1" customWidth="1"/>
    <col min="7172" max="7173" width="10.33203125" bestFit="1" customWidth="1"/>
    <col min="7425" max="7425" width="23.6640625" bestFit="1" customWidth="1"/>
    <col min="7426" max="7426" width="11.109375" bestFit="1" customWidth="1"/>
    <col min="7427" max="7427" width="14.33203125" bestFit="1" customWidth="1"/>
    <col min="7428" max="7429" width="10.33203125" bestFit="1" customWidth="1"/>
    <col min="7681" max="7681" width="23.6640625" bestFit="1" customWidth="1"/>
    <col min="7682" max="7682" width="11.109375" bestFit="1" customWidth="1"/>
    <col min="7683" max="7683" width="14.33203125" bestFit="1" customWidth="1"/>
    <col min="7684" max="7685" width="10.33203125" bestFit="1" customWidth="1"/>
    <col min="7937" max="7937" width="23.6640625" bestFit="1" customWidth="1"/>
    <col min="7938" max="7938" width="11.109375" bestFit="1" customWidth="1"/>
    <col min="7939" max="7939" width="14.33203125" bestFit="1" customWidth="1"/>
    <col min="7940" max="7941" width="10.33203125" bestFit="1" customWidth="1"/>
    <col min="8193" max="8193" width="23.6640625" bestFit="1" customWidth="1"/>
    <col min="8194" max="8194" width="11.109375" bestFit="1" customWidth="1"/>
    <col min="8195" max="8195" width="14.33203125" bestFit="1" customWidth="1"/>
    <col min="8196" max="8197" width="10.33203125" bestFit="1" customWidth="1"/>
    <col min="8449" max="8449" width="23.6640625" bestFit="1" customWidth="1"/>
    <col min="8450" max="8450" width="11.109375" bestFit="1" customWidth="1"/>
    <col min="8451" max="8451" width="14.33203125" bestFit="1" customWidth="1"/>
    <col min="8452" max="8453" width="10.33203125" bestFit="1" customWidth="1"/>
    <col min="8705" max="8705" width="23.6640625" bestFit="1" customWidth="1"/>
    <col min="8706" max="8706" width="11.109375" bestFit="1" customWidth="1"/>
    <col min="8707" max="8707" width="14.33203125" bestFit="1" customWidth="1"/>
    <col min="8708" max="8709" width="10.33203125" bestFit="1" customWidth="1"/>
    <col min="8961" max="8961" width="23.6640625" bestFit="1" customWidth="1"/>
    <col min="8962" max="8962" width="11.109375" bestFit="1" customWidth="1"/>
    <col min="8963" max="8963" width="14.33203125" bestFit="1" customWidth="1"/>
    <col min="8964" max="8965" width="10.33203125" bestFit="1" customWidth="1"/>
    <col min="9217" max="9217" width="23.6640625" bestFit="1" customWidth="1"/>
    <col min="9218" max="9218" width="11.109375" bestFit="1" customWidth="1"/>
    <col min="9219" max="9219" width="14.33203125" bestFit="1" customWidth="1"/>
    <col min="9220" max="9221" width="10.33203125" bestFit="1" customWidth="1"/>
    <col min="9473" max="9473" width="23.6640625" bestFit="1" customWidth="1"/>
    <col min="9474" max="9474" width="11.109375" bestFit="1" customWidth="1"/>
    <col min="9475" max="9475" width="14.33203125" bestFit="1" customWidth="1"/>
    <col min="9476" max="9477" width="10.33203125" bestFit="1" customWidth="1"/>
    <col min="9729" max="9729" width="23.6640625" bestFit="1" customWidth="1"/>
    <col min="9730" max="9730" width="11.109375" bestFit="1" customWidth="1"/>
    <col min="9731" max="9731" width="14.33203125" bestFit="1" customWidth="1"/>
    <col min="9732" max="9733" width="10.33203125" bestFit="1" customWidth="1"/>
    <col min="9985" max="9985" width="23.6640625" bestFit="1" customWidth="1"/>
    <col min="9986" max="9986" width="11.109375" bestFit="1" customWidth="1"/>
    <col min="9987" max="9987" width="14.33203125" bestFit="1" customWidth="1"/>
    <col min="9988" max="9989" width="10.33203125" bestFit="1" customWidth="1"/>
    <col min="10241" max="10241" width="23.6640625" bestFit="1" customWidth="1"/>
    <col min="10242" max="10242" width="11.109375" bestFit="1" customWidth="1"/>
    <col min="10243" max="10243" width="14.33203125" bestFit="1" customWidth="1"/>
    <col min="10244" max="10245" width="10.33203125" bestFit="1" customWidth="1"/>
    <col min="10497" max="10497" width="23.6640625" bestFit="1" customWidth="1"/>
    <col min="10498" max="10498" width="11.109375" bestFit="1" customWidth="1"/>
    <col min="10499" max="10499" width="14.33203125" bestFit="1" customWidth="1"/>
    <col min="10500" max="10501" width="10.33203125" bestFit="1" customWidth="1"/>
    <col min="10753" max="10753" width="23.6640625" bestFit="1" customWidth="1"/>
    <col min="10754" max="10754" width="11.109375" bestFit="1" customWidth="1"/>
    <col min="10755" max="10755" width="14.33203125" bestFit="1" customWidth="1"/>
    <col min="10756" max="10757" width="10.33203125" bestFit="1" customWidth="1"/>
    <col min="11009" max="11009" width="23.6640625" bestFit="1" customWidth="1"/>
    <col min="11010" max="11010" width="11.109375" bestFit="1" customWidth="1"/>
    <col min="11011" max="11011" width="14.33203125" bestFit="1" customWidth="1"/>
    <col min="11012" max="11013" width="10.33203125" bestFit="1" customWidth="1"/>
    <col min="11265" max="11265" width="23.6640625" bestFit="1" customWidth="1"/>
    <col min="11266" max="11266" width="11.109375" bestFit="1" customWidth="1"/>
    <col min="11267" max="11267" width="14.33203125" bestFit="1" customWidth="1"/>
    <col min="11268" max="11269" width="10.33203125" bestFit="1" customWidth="1"/>
    <col min="11521" max="11521" width="23.6640625" bestFit="1" customWidth="1"/>
    <col min="11522" max="11522" width="11.109375" bestFit="1" customWidth="1"/>
    <col min="11523" max="11523" width="14.33203125" bestFit="1" customWidth="1"/>
    <col min="11524" max="11525" width="10.33203125" bestFit="1" customWidth="1"/>
    <col min="11777" max="11777" width="23.6640625" bestFit="1" customWidth="1"/>
    <col min="11778" max="11778" width="11.109375" bestFit="1" customWidth="1"/>
    <col min="11779" max="11779" width="14.33203125" bestFit="1" customWidth="1"/>
    <col min="11780" max="11781" width="10.33203125" bestFit="1" customWidth="1"/>
    <col min="12033" max="12033" width="23.6640625" bestFit="1" customWidth="1"/>
    <col min="12034" max="12034" width="11.109375" bestFit="1" customWidth="1"/>
    <col min="12035" max="12035" width="14.33203125" bestFit="1" customWidth="1"/>
    <col min="12036" max="12037" width="10.33203125" bestFit="1" customWidth="1"/>
    <col min="12289" max="12289" width="23.6640625" bestFit="1" customWidth="1"/>
    <col min="12290" max="12290" width="11.109375" bestFit="1" customWidth="1"/>
    <col min="12291" max="12291" width="14.33203125" bestFit="1" customWidth="1"/>
    <col min="12292" max="12293" width="10.33203125" bestFit="1" customWidth="1"/>
    <col min="12545" max="12545" width="23.6640625" bestFit="1" customWidth="1"/>
    <col min="12546" max="12546" width="11.109375" bestFit="1" customWidth="1"/>
    <col min="12547" max="12547" width="14.33203125" bestFit="1" customWidth="1"/>
    <col min="12548" max="12549" width="10.33203125" bestFit="1" customWidth="1"/>
    <col min="12801" max="12801" width="23.6640625" bestFit="1" customWidth="1"/>
    <col min="12802" max="12802" width="11.109375" bestFit="1" customWidth="1"/>
    <col min="12803" max="12803" width="14.33203125" bestFit="1" customWidth="1"/>
    <col min="12804" max="12805" width="10.33203125" bestFit="1" customWidth="1"/>
    <col min="13057" max="13057" width="23.6640625" bestFit="1" customWidth="1"/>
    <col min="13058" max="13058" width="11.109375" bestFit="1" customWidth="1"/>
    <col min="13059" max="13059" width="14.33203125" bestFit="1" customWidth="1"/>
    <col min="13060" max="13061" width="10.33203125" bestFit="1" customWidth="1"/>
    <col min="13313" max="13313" width="23.6640625" bestFit="1" customWidth="1"/>
    <col min="13314" max="13314" width="11.109375" bestFit="1" customWidth="1"/>
    <col min="13315" max="13315" width="14.33203125" bestFit="1" customWidth="1"/>
    <col min="13316" max="13317" width="10.33203125" bestFit="1" customWidth="1"/>
    <col min="13569" max="13569" width="23.6640625" bestFit="1" customWidth="1"/>
    <col min="13570" max="13570" width="11.109375" bestFit="1" customWidth="1"/>
    <col min="13571" max="13571" width="14.33203125" bestFit="1" customWidth="1"/>
    <col min="13572" max="13573" width="10.33203125" bestFit="1" customWidth="1"/>
    <col min="13825" max="13825" width="23.6640625" bestFit="1" customWidth="1"/>
    <col min="13826" max="13826" width="11.109375" bestFit="1" customWidth="1"/>
    <col min="13827" max="13827" width="14.33203125" bestFit="1" customWidth="1"/>
    <col min="13828" max="13829" width="10.33203125" bestFit="1" customWidth="1"/>
    <col min="14081" max="14081" width="23.6640625" bestFit="1" customWidth="1"/>
    <col min="14082" max="14082" width="11.109375" bestFit="1" customWidth="1"/>
    <col min="14083" max="14083" width="14.33203125" bestFit="1" customWidth="1"/>
    <col min="14084" max="14085" width="10.33203125" bestFit="1" customWidth="1"/>
    <col min="14337" max="14337" width="23.6640625" bestFit="1" customWidth="1"/>
    <col min="14338" max="14338" width="11.109375" bestFit="1" customWidth="1"/>
    <col min="14339" max="14339" width="14.33203125" bestFit="1" customWidth="1"/>
    <col min="14340" max="14341" width="10.33203125" bestFit="1" customWidth="1"/>
    <col min="14593" max="14593" width="23.6640625" bestFit="1" customWidth="1"/>
    <col min="14594" max="14594" width="11.109375" bestFit="1" customWidth="1"/>
    <col min="14595" max="14595" width="14.33203125" bestFit="1" customWidth="1"/>
    <col min="14596" max="14597" width="10.33203125" bestFit="1" customWidth="1"/>
    <col min="14849" max="14849" width="23.6640625" bestFit="1" customWidth="1"/>
    <col min="14850" max="14850" width="11.109375" bestFit="1" customWidth="1"/>
    <col min="14851" max="14851" width="14.33203125" bestFit="1" customWidth="1"/>
    <col min="14852" max="14853" width="10.33203125" bestFit="1" customWidth="1"/>
    <col min="15105" max="15105" width="23.6640625" bestFit="1" customWidth="1"/>
    <col min="15106" max="15106" width="11.109375" bestFit="1" customWidth="1"/>
    <col min="15107" max="15107" width="14.33203125" bestFit="1" customWidth="1"/>
    <col min="15108" max="15109" width="10.33203125" bestFit="1" customWidth="1"/>
    <col min="15361" max="15361" width="23.6640625" bestFit="1" customWidth="1"/>
    <col min="15362" max="15362" width="11.109375" bestFit="1" customWidth="1"/>
    <col min="15363" max="15363" width="14.33203125" bestFit="1" customWidth="1"/>
    <col min="15364" max="15365" width="10.33203125" bestFit="1" customWidth="1"/>
    <col min="15617" max="15617" width="23.6640625" bestFit="1" customWidth="1"/>
    <col min="15618" max="15618" width="11.109375" bestFit="1" customWidth="1"/>
    <col min="15619" max="15619" width="14.33203125" bestFit="1" customWidth="1"/>
    <col min="15620" max="15621" width="10.33203125" bestFit="1" customWidth="1"/>
    <col min="15873" max="15873" width="23.6640625" bestFit="1" customWidth="1"/>
    <col min="15874" max="15874" width="11.109375" bestFit="1" customWidth="1"/>
    <col min="15875" max="15875" width="14.33203125" bestFit="1" customWidth="1"/>
    <col min="15876" max="15877" width="10.33203125" bestFit="1" customWidth="1"/>
    <col min="16129" max="16129" width="23.6640625" bestFit="1" customWidth="1"/>
    <col min="16130" max="16130" width="11.109375" bestFit="1" customWidth="1"/>
    <col min="16131" max="16131" width="14.33203125" bestFit="1" customWidth="1"/>
    <col min="16132" max="16133" width="10.33203125" bestFit="1" customWidth="1"/>
  </cols>
  <sheetData>
    <row r="1" spans="1:5" x14ac:dyDescent="0.3">
      <c r="A1" s="1" t="s">
        <v>102</v>
      </c>
      <c r="B1" s="126">
        <v>60000</v>
      </c>
    </row>
    <row r="2" spans="1:5" x14ac:dyDescent="0.3">
      <c r="A2" s="1" t="s">
        <v>77</v>
      </c>
      <c r="B2" s="1">
        <v>3</v>
      </c>
    </row>
    <row r="3" spans="1:5" x14ac:dyDescent="0.3">
      <c r="A3" s="1" t="s">
        <v>234</v>
      </c>
      <c r="B3" s="1">
        <v>0.09</v>
      </c>
    </row>
    <row r="4" spans="1:5" x14ac:dyDescent="0.3">
      <c r="A4" s="1" t="s">
        <v>39</v>
      </c>
      <c r="B4" s="1">
        <v>1</v>
      </c>
    </row>
    <row r="5" spans="1:5" x14ac:dyDescent="0.3">
      <c r="A5" s="1" t="s">
        <v>178</v>
      </c>
      <c r="B5" s="1">
        <v>0</v>
      </c>
      <c r="C5" s="127" t="str">
        <f>IF(B5=1,"Annuity Due",IF(B5=0,"Ordinary Annuity"))</f>
        <v>Ordinary Annuity</v>
      </c>
    </row>
    <row r="6" spans="1:5" x14ac:dyDescent="0.3">
      <c r="A6" s="1" t="s">
        <v>97</v>
      </c>
      <c r="B6" s="128"/>
    </row>
    <row r="8" spans="1:5" x14ac:dyDescent="0.3">
      <c r="A8" s="129" t="s">
        <v>25</v>
      </c>
      <c r="B8" s="129" t="s">
        <v>145</v>
      </c>
      <c r="C8" s="129" t="s">
        <v>133</v>
      </c>
      <c r="D8" s="129" t="s">
        <v>235</v>
      </c>
      <c r="E8" s="129" t="s">
        <v>146</v>
      </c>
    </row>
    <row r="9" spans="1:5" x14ac:dyDescent="0.3">
      <c r="A9" s="1">
        <v>0</v>
      </c>
      <c r="B9" s="130"/>
      <c r="C9" s="130"/>
      <c r="D9" s="130"/>
      <c r="E9" s="131"/>
    </row>
    <row r="10" spans="1:5" x14ac:dyDescent="0.3">
      <c r="A10" s="1">
        <v>1</v>
      </c>
      <c r="B10" s="131"/>
      <c r="C10" s="131"/>
      <c r="D10" s="131"/>
      <c r="E10" s="131"/>
    </row>
    <row r="11" spans="1:5" x14ac:dyDescent="0.3">
      <c r="A11" s="1">
        <v>2</v>
      </c>
      <c r="B11" s="131"/>
      <c r="C11" s="131"/>
      <c r="D11" s="131"/>
      <c r="E11" s="131"/>
    </row>
    <row r="12" spans="1:5" ht="15" thickBot="1" x14ac:dyDescent="0.35">
      <c r="A12" s="28">
        <v>3</v>
      </c>
      <c r="B12" s="131"/>
      <c r="C12" s="131"/>
      <c r="D12" s="131"/>
      <c r="E12" s="131"/>
    </row>
    <row r="13" spans="1:5" ht="15" thickBot="1" x14ac:dyDescent="0.35">
      <c r="A13" s="132" t="s">
        <v>46</v>
      </c>
      <c r="B13" s="133"/>
      <c r="C13" s="133"/>
      <c r="D13" s="133"/>
      <c r="E13" s="133"/>
    </row>
    <row r="14" spans="1:5" ht="15" thickTop="1" x14ac:dyDescent="0.3"/>
    <row r="15" spans="1:5" x14ac:dyDescent="0.3">
      <c r="A15" s="129" t="s">
        <v>236</v>
      </c>
      <c r="B15" s="50"/>
    </row>
    <row r="16" spans="1:5" x14ac:dyDescent="0.3">
      <c r="A16" s="129" t="s">
        <v>237</v>
      </c>
      <c r="B16" s="50"/>
    </row>
  </sheetData>
  <pageMargins left="0.75" right="0.75" top="1" bottom="1" header="0.5" footer="0.5"/>
  <pageSetup orientation="portrait"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E16"/>
  <sheetViews>
    <sheetView workbookViewId="0">
      <selection activeCell="B15" sqref="B15"/>
    </sheetView>
  </sheetViews>
  <sheetFormatPr defaultRowHeight="14.4" x14ac:dyDescent="0.3"/>
  <cols>
    <col min="1" max="1" width="23.6640625" bestFit="1" customWidth="1"/>
    <col min="2" max="2" width="11.109375" bestFit="1" customWidth="1"/>
    <col min="3" max="3" width="14.33203125" bestFit="1" customWidth="1"/>
    <col min="4" max="5" width="10.33203125" bestFit="1" customWidth="1"/>
    <col min="257" max="257" width="23.6640625" bestFit="1" customWidth="1"/>
    <col min="258" max="258" width="11.109375" bestFit="1" customWidth="1"/>
    <col min="259" max="259" width="14.33203125" bestFit="1" customWidth="1"/>
    <col min="260" max="261" width="10.33203125" bestFit="1" customWidth="1"/>
    <col min="513" max="513" width="23.6640625" bestFit="1" customWidth="1"/>
    <col min="514" max="514" width="11.109375" bestFit="1" customWidth="1"/>
    <col min="515" max="515" width="14.33203125" bestFit="1" customWidth="1"/>
    <col min="516" max="517" width="10.33203125" bestFit="1" customWidth="1"/>
    <col min="769" max="769" width="23.6640625" bestFit="1" customWidth="1"/>
    <col min="770" max="770" width="11.109375" bestFit="1" customWidth="1"/>
    <col min="771" max="771" width="14.33203125" bestFit="1" customWidth="1"/>
    <col min="772" max="773" width="10.33203125" bestFit="1" customWidth="1"/>
    <col min="1025" max="1025" width="23.6640625" bestFit="1" customWidth="1"/>
    <col min="1026" max="1026" width="11.109375" bestFit="1" customWidth="1"/>
    <col min="1027" max="1027" width="14.33203125" bestFit="1" customWidth="1"/>
    <col min="1028" max="1029" width="10.33203125" bestFit="1" customWidth="1"/>
    <col min="1281" max="1281" width="23.6640625" bestFit="1" customWidth="1"/>
    <col min="1282" max="1282" width="11.109375" bestFit="1" customWidth="1"/>
    <col min="1283" max="1283" width="14.33203125" bestFit="1" customWidth="1"/>
    <col min="1284" max="1285" width="10.33203125" bestFit="1" customWidth="1"/>
    <col min="1537" max="1537" width="23.6640625" bestFit="1" customWidth="1"/>
    <col min="1538" max="1538" width="11.109375" bestFit="1" customWidth="1"/>
    <col min="1539" max="1539" width="14.33203125" bestFit="1" customWidth="1"/>
    <col min="1540" max="1541" width="10.33203125" bestFit="1" customWidth="1"/>
    <col min="1793" max="1793" width="23.6640625" bestFit="1" customWidth="1"/>
    <col min="1794" max="1794" width="11.109375" bestFit="1" customWidth="1"/>
    <col min="1795" max="1795" width="14.33203125" bestFit="1" customWidth="1"/>
    <col min="1796" max="1797" width="10.33203125" bestFit="1" customWidth="1"/>
    <col min="2049" max="2049" width="23.6640625" bestFit="1" customWidth="1"/>
    <col min="2050" max="2050" width="11.109375" bestFit="1" customWidth="1"/>
    <col min="2051" max="2051" width="14.33203125" bestFit="1" customWidth="1"/>
    <col min="2052" max="2053" width="10.33203125" bestFit="1" customWidth="1"/>
    <col min="2305" max="2305" width="23.6640625" bestFit="1" customWidth="1"/>
    <col min="2306" max="2306" width="11.109375" bestFit="1" customWidth="1"/>
    <col min="2307" max="2307" width="14.33203125" bestFit="1" customWidth="1"/>
    <col min="2308" max="2309" width="10.33203125" bestFit="1" customWidth="1"/>
    <col min="2561" max="2561" width="23.6640625" bestFit="1" customWidth="1"/>
    <col min="2562" max="2562" width="11.109375" bestFit="1" customWidth="1"/>
    <col min="2563" max="2563" width="14.33203125" bestFit="1" customWidth="1"/>
    <col min="2564" max="2565" width="10.33203125" bestFit="1" customWidth="1"/>
    <col min="2817" max="2817" width="23.6640625" bestFit="1" customWidth="1"/>
    <col min="2818" max="2818" width="11.109375" bestFit="1" customWidth="1"/>
    <col min="2819" max="2819" width="14.33203125" bestFit="1" customWidth="1"/>
    <col min="2820" max="2821" width="10.33203125" bestFit="1" customWidth="1"/>
    <col min="3073" max="3073" width="23.6640625" bestFit="1" customWidth="1"/>
    <col min="3074" max="3074" width="11.109375" bestFit="1" customWidth="1"/>
    <col min="3075" max="3075" width="14.33203125" bestFit="1" customWidth="1"/>
    <col min="3076" max="3077" width="10.33203125" bestFit="1" customWidth="1"/>
    <col min="3329" max="3329" width="23.6640625" bestFit="1" customWidth="1"/>
    <col min="3330" max="3330" width="11.109375" bestFit="1" customWidth="1"/>
    <col min="3331" max="3331" width="14.33203125" bestFit="1" customWidth="1"/>
    <col min="3332" max="3333" width="10.33203125" bestFit="1" customWidth="1"/>
    <col min="3585" max="3585" width="23.6640625" bestFit="1" customWidth="1"/>
    <col min="3586" max="3586" width="11.109375" bestFit="1" customWidth="1"/>
    <col min="3587" max="3587" width="14.33203125" bestFit="1" customWidth="1"/>
    <col min="3588" max="3589" width="10.33203125" bestFit="1" customWidth="1"/>
    <col min="3841" max="3841" width="23.6640625" bestFit="1" customWidth="1"/>
    <col min="3842" max="3842" width="11.109375" bestFit="1" customWidth="1"/>
    <col min="3843" max="3843" width="14.33203125" bestFit="1" customWidth="1"/>
    <col min="3844" max="3845" width="10.33203125" bestFit="1" customWidth="1"/>
    <col min="4097" max="4097" width="23.6640625" bestFit="1" customWidth="1"/>
    <col min="4098" max="4098" width="11.109375" bestFit="1" customWidth="1"/>
    <col min="4099" max="4099" width="14.33203125" bestFit="1" customWidth="1"/>
    <col min="4100" max="4101" width="10.33203125" bestFit="1" customWidth="1"/>
    <col min="4353" max="4353" width="23.6640625" bestFit="1" customWidth="1"/>
    <col min="4354" max="4354" width="11.109375" bestFit="1" customWidth="1"/>
    <col min="4355" max="4355" width="14.33203125" bestFit="1" customWidth="1"/>
    <col min="4356" max="4357" width="10.33203125" bestFit="1" customWidth="1"/>
    <col min="4609" max="4609" width="23.6640625" bestFit="1" customWidth="1"/>
    <col min="4610" max="4610" width="11.109375" bestFit="1" customWidth="1"/>
    <col min="4611" max="4611" width="14.33203125" bestFit="1" customWidth="1"/>
    <col min="4612" max="4613" width="10.33203125" bestFit="1" customWidth="1"/>
    <col min="4865" max="4865" width="23.6640625" bestFit="1" customWidth="1"/>
    <col min="4866" max="4866" width="11.109375" bestFit="1" customWidth="1"/>
    <col min="4867" max="4867" width="14.33203125" bestFit="1" customWidth="1"/>
    <col min="4868" max="4869" width="10.33203125" bestFit="1" customWidth="1"/>
    <col min="5121" max="5121" width="23.6640625" bestFit="1" customWidth="1"/>
    <col min="5122" max="5122" width="11.109375" bestFit="1" customWidth="1"/>
    <col min="5123" max="5123" width="14.33203125" bestFit="1" customWidth="1"/>
    <col min="5124" max="5125" width="10.33203125" bestFit="1" customWidth="1"/>
    <col min="5377" max="5377" width="23.6640625" bestFit="1" customWidth="1"/>
    <col min="5378" max="5378" width="11.109375" bestFit="1" customWidth="1"/>
    <col min="5379" max="5379" width="14.33203125" bestFit="1" customWidth="1"/>
    <col min="5380" max="5381" width="10.33203125" bestFit="1" customWidth="1"/>
    <col min="5633" max="5633" width="23.6640625" bestFit="1" customWidth="1"/>
    <col min="5634" max="5634" width="11.109375" bestFit="1" customWidth="1"/>
    <col min="5635" max="5635" width="14.33203125" bestFit="1" customWidth="1"/>
    <col min="5636" max="5637" width="10.33203125" bestFit="1" customWidth="1"/>
    <col min="5889" max="5889" width="23.6640625" bestFit="1" customWidth="1"/>
    <col min="5890" max="5890" width="11.109375" bestFit="1" customWidth="1"/>
    <col min="5891" max="5891" width="14.33203125" bestFit="1" customWidth="1"/>
    <col min="5892" max="5893" width="10.33203125" bestFit="1" customWidth="1"/>
    <col min="6145" max="6145" width="23.6640625" bestFit="1" customWidth="1"/>
    <col min="6146" max="6146" width="11.109375" bestFit="1" customWidth="1"/>
    <col min="6147" max="6147" width="14.33203125" bestFit="1" customWidth="1"/>
    <col min="6148" max="6149" width="10.33203125" bestFit="1" customWidth="1"/>
    <col min="6401" max="6401" width="23.6640625" bestFit="1" customWidth="1"/>
    <col min="6402" max="6402" width="11.109375" bestFit="1" customWidth="1"/>
    <col min="6403" max="6403" width="14.33203125" bestFit="1" customWidth="1"/>
    <col min="6404" max="6405" width="10.33203125" bestFit="1" customWidth="1"/>
    <col min="6657" max="6657" width="23.6640625" bestFit="1" customWidth="1"/>
    <col min="6658" max="6658" width="11.109375" bestFit="1" customWidth="1"/>
    <col min="6659" max="6659" width="14.33203125" bestFit="1" customWidth="1"/>
    <col min="6660" max="6661" width="10.33203125" bestFit="1" customWidth="1"/>
    <col min="6913" max="6913" width="23.6640625" bestFit="1" customWidth="1"/>
    <col min="6914" max="6914" width="11.109375" bestFit="1" customWidth="1"/>
    <col min="6915" max="6915" width="14.33203125" bestFit="1" customWidth="1"/>
    <col min="6916" max="6917" width="10.33203125" bestFit="1" customWidth="1"/>
    <col min="7169" max="7169" width="23.6640625" bestFit="1" customWidth="1"/>
    <col min="7170" max="7170" width="11.109375" bestFit="1" customWidth="1"/>
    <col min="7171" max="7171" width="14.33203125" bestFit="1" customWidth="1"/>
    <col min="7172" max="7173" width="10.33203125" bestFit="1" customWidth="1"/>
    <col min="7425" max="7425" width="23.6640625" bestFit="1" customWidth="1"/>
    <col min="7426" max="7426" width="11.109375" bestFit="1" customWidth="1"/>
    <col min="7427" max="7427" width="14.33203125" bestFit="1" customWidth="1"/>
    <col min="7428" max="7429" width="10.33203125" bestFit="1" customWidth="1"/>
    <col min="7681" max="7681" width="23.6640625" bestFit="1" customWidth="1"/>
    <col min="7682" max="7682" width="11.109375" bestFit="1" customWidth="1"/>
    <col min="7683" max="7683" width="14.33203125" bestFit="1" customWidth="1"/>
    <col min="7684" max="7685" width="10.33203125" bestFit="1" customWidth="1"/>
    <col min="7937" max="7937" width="23.6640625" bestFit="1" customWidth="1"/>
    <col min="7938" max="7938" width="11.109375" bestFit="1" customWidth="1"/>
    <col min="7939" max="7939" width="14.33203125" bestFit="1" customWidth="1"/>
    <col min="7940" max="7941" width="10.33203125" bestFit="1" customWidth="1"/>
    <col min="8193" max="8193" width="23.6640625" bestFit="1" customWidth="1"/>
    <col min="8194" max="8194" width="11.109375" bestFit="1" customWidth="1"/>
    <col min="8195" max="8195" width="14.33203125" bestFit="1" customWidth="1"/>
    <col min="8196" max="8197" width="10.33203125" bestFit="1" customWidth="1"/>
    <col min="8449" max="8449" width="23.6640625" bestFit="1" customWidth="1"/>
    <col min="8450" max="8450" width="11.109375" bestFit="1" customWidth="1"/>
    <col min="8451" max="8451" width="14.33203125" bestFit="1" customWidth="1"/>
    <col min="8452" max="8453" width="10.33203125" bestFit="1" customWidth="1"/>
    <col min="8705" max="8705" width="23.6640625" bestFit="1" customWidth="1"/>
    <col min="8706" max="8706" width="11.109375" bestFit="1" customWidth="1"/>
    <col min="8707" max="8707" width="14.33203125" bestFit="1" customWidth="1"/>
    <col min="8708" max="8709" width="10.33203125" bestFit="1" customWidth="1"/>
    <col min="8961" max="8961" width="23.6640625" bestFit="1" customWidth="1"/>
    <col min="8962" max="8962" width="11.109375" bestFit="1" customWidth="1"/>
    <col min="8963" max="8963" width="14.33203125" bestFit="1" customWidth="1"/>
    <col min="8964" max="8965" width="10.33203125" bestFit="1" customWidth="1"/>
    <col min="9217" max="9217" width="23.6640625" bestFit="1" customWidth="1"/>
    <col min="9218" max="9218" width="11.109375" bestFit="1" customWidth="1"/>
    <col min="9219" max="9219" width="14.33203125" bestFit="1" customWidth="1"/>
    <col min="9220" max="9221" width="10.33203125" bestFit="1" customWidth="1"/>
    <col min="9473" max="9473" width="23.6640625" bestFit="1" customWidth="1"/>
    <col min="9474" max="9474" width="11.109375" bestFit="1" customWidth="1"/>
    <col min="9475" max="9475" width="14.33203125" bestFit="1" customWidth="1"/>
    <col min="9476" max="9477" width="10.33203125" bestFit="1" customWidth="1"/>
    <col min="9729" max="9729" width="23.6640625" bestFit="1" customWidth="1"/>
    <col min="9730" max="9730" width="11.109375" bestFit="1" customWidth="1"/>
    <col min="9731" max="9731" width="14.33203125" bestFit="1" customWidth="1"/>
    <col min="9732" max="9733" width="10.33203125" bestFit="1" customWidth="1"/>
    <col min="9985" max="9985" width="23.6640625" bestFit="1" customWidth="1"/>
    <col min="9986" max="9986" width="11.109375" bestFit="1" customWidth="1"/>
    <col min="9987" max="9987" width="14.33203125" bestFit="1" customWidth="1"/>
    <col min="9988" max="9989" width="10.33203125" bestFit="1" customWidth="1"/>
    <col min="10241" max="10241" width="23.6640625" bestFit="1" customWidth="1"/>
    <col min="10242" max="10242" width="11.109375" bestFit="1" customWidth="1"/>
    <col min="10243" max="10243" width="14.33203125" bestFit="1" customWidth="1"/>
    <col min="10244" max="10245" width="10.33203125" bestFit="1" customWidth="1"/>
    <col min="10497" max="10497" width="23.6640625" bestFit="1" customWidth="1"/>
    <col min="10498" max="10498" width="11.109375" bestFit="1" customWidth="1"/>
    <col min="10499" max="10499" width="14.33203125" bestFit="1" customWidth="1"/>
    <col min="10500" max="10501" width="10.33203125" bestFit="1" customWidth="1"/>
    <col min="10753" max="10753" width="23.6640625" bestFit="1" customWidth="1"/>
    <col min="10754" max="10754" width="11.109375" bestFit="1" customWidth="1"/>
    <col min="10755" max="10755" width="14.33203125" bestFit="1" customWidth="1"/>
    <col min="10756" max="10757" width="10.33203125" bestFit="1" customWidth="1"/>
    <col min="11009" max="11009" width="23.6640625" bestFit="1" customWidth="1"/>
    <col min="11010" max="11010" width="11.109375" bestFit="1" customWidth="1"/>
    <col min="11011" max="11011" width="14.33203125" bestFit="1" customWidth="1"/>
    <col min="11012" max="11013" width="10.33203125" bestFit="1" customWidth="1"/>
    <col min="11265" max="11265" width="23.6640625" bestFit="1" customWidth="1"/>
    <col min="11266" max="11266" width="11.109375" bestFit="1" customWidth="1"/>
    <col min="11267" max="11267" width="14.33203125" bestFit="1" customWidth="1"/>
    <col min="11268" max="11269" width="10.33203125" bestFit="1" customWidth="1"/>
    <col min="11521" max="11521" width="23.6640625" bestFit="1" customWidth="1"/>
    <col min="11522" max="11522" width="11.109375" bestFit="1" customWidth="1"/>
    <col min="11523" max="11523" width="14.33203125" bestFit="1" customWidth="1"/>
    <col min="11524" max="11525" width="10.33203125" bestFit="1" customWidth="1"/>
    <col min="11777" max="11777" width="23.6640625" bestFit="1" customWidth="1"/>
    <col min="11778" max="11778" width="11.109375" bestFit="1" customWidth="1"/>
    <col min="11779" max="11779" width="14.33203125" bestFit="1" customWidth="1"/>
    <col min="11780" max="11781" width="10.33203125" bestFit="1" customWidth="1"/>
    <col min="12033" max="12033" width="23.6640625" bestFit="1" customWidth="1"/>
    <col min="12034" max="12034" width="11.109375" bestFit="1" customWidth="1"/>
    <col min="12035" max="12035" width="14.33203125" bestFit="1" customWidth="1"/>
    <col min="12036" max="12037" width="10.33203125" bestFit="1" customWidth="1"/>
    <col min="12289" max="12289" width="23.6640625" bestFit="1" customWidth="1"/>
    <col min="12290" max="12290" width="11.109375" bestFit="1" customWidth="1"/>
    <col min="12291" max="12291" width="14.33203125" bestFit="1" customWidth="1"/>
    <col min="12292" max="12293" width="10.33203125" bestFit="1" customWidth="1"/>
    <col min="12545" max="12545" width="23.6640625" bestFit="1" customWidth="1"/>
    <col min="12546" max="12546" width="11.109375" bestFit="1" customWidth="1"/>
    <col min="12547" max="12547" width="14.33203125" bestFit="1" customWidth="1"/>
    <col min="12548" max="12549" width="10.33203125" bestFit="1" customWidth="1"/>
    <col min="12801" max="12801" width="23.6640625" bestFit="1" customWidth="1"/>
    <col min="12802" max="12802" width="11.109375" bestFit="1" customWidth="1"/>
    <col min="12803" max="12803" width="14.33203125" bestFit="1" customWidth="1"/>
    <col min="12804" max="12805" width="10.33203125" bestFit="1" customWidth="1"/>
    <col min="13057" max="13057" width="23.6640625" bestFit="1" customWidth="1"/>
    <col min="13058" max="13058" width="11.109375" bestFit="1" customWidth="1"/>
    <col min="13059" max="13059" width="14.33203125" bestFit="1" customWidth="1"/>
    <col min="13060" max="13061" width="10.33203125" bestFit="1" customWidth="1"/>
    <col min="13313" max="13313" width="23.6640625" bestFit="1" customWidth="1"/>
    <col min="13314" max="13314" width="11.109375" bestFit="1" customWidth="1"/>
    <col min="13315" max="13315" width="14.33203125" bestFit="1" customWidth="1"/>
    <col min="13316" max="13317" width="10.33203125" bestFit="1" customWidth="1"/>
    <col min="13569" max="13569" width="23.6640625" bestFit="1" customWidth="1"/>
    <col min="13570" max="13570" width="11.109375" bestFit="1" customWidth="1"/>
    <col min="13571" max="13571" width="14.33203125" bestFit="1" customWidth="1"/>
    <col min="13572" max="13573" width="10.33203125" bestFit="1" customWidth="1"/>
    <col min="13825" max="13825" width="23.6640625" bestFit="1" customWidth="1"/>
    <col min="13826" max="13826" width="11.109375" bestFit="1" customWidth="1"/>
    <col min="13827" max="13827" width="14.33203125" bestFit="1" customWidth="1"/>
    <col min="13828" max="13829" width="10.33203125" bestFit="1" customWidth="1"/>
    <col min="14081" max="14081" width="23.6640625" bestFit="1" customWidth="1"/>
    <col min="14082" max="14082" width="11.109375" bestFit="1" customWidth="1"/>
    <col min="14083" max="14083" width="14.33203125" bestFit="1" customWidth="1"/>
    <col min="14084" max="14085" width="10.33203125" bestFit="1" customWidth="1"/>
    <col min="14337" max="14337" width="23.6640625" bestFit="1" customWidth="1"/>
    <col min="14338" max="14338" width="11.109375" bestFit="1" customWidth="1"/>
    <col min="14339" max="14339" width="14.33203125" bestFit="1" customWidth="1"/>
    <col min="14340" max="14341" width="10.33203125" bestFit="1" customWidth="1"/>
    <col min="14593" max="14593" width="23.6640625" bestFit="1" customWidth="1"/>
    <col min="14594" max="14594" width="11.109375" bestFit="1" customWidth="1"/>
    <col min="14595" max="14595" width="14.33203125" bestFit="1" customWidth="1"/>
    <col min="14596" max="14597" width="10.33203125" bestFit="1" customWidth="1"/>
    <col min="14849" max="14849" width="23.6640625" bestFit="1" customWidth="1"/>
    <col min="14850" max="14850" width="11.109375" bestFit="1" customWidth="1"/>
    <col min="14851" max="14851" width="14.33203125" bestFit="1" customWidth="1"/>
    <col min="14852" max="14853" width="10.33203125" bestFit="1" customWidth="1"/>
    <col min="15105" max="15105" width="23.6640625" bestFit="1" customWidth="1"/>
    <col min="15106" max="15106" width="11.109375" bestFit="1" customWidth="1"/>
    <col min="15107" max="15107" width="14.33203125" bestFit="1" customWidth="1"/>
    <col min="15108" max="15109" width="10.33203125" bestFit="1" customWidth="1"/>
    <col min="15361" max="15361" width="23.6640625" bestFit="1" customWidth="1"/>
    <col min="15362" max="15362" width="11.109375" bestFit="1" customWidth="1"/>
    <col min="15363" max="15363" width="14.33203125" bestFit="1" customWidth="1"/>
    <col min="15364" max="15365" width="10.33203125" bestFit="1" customWidth="1"/>
    <col min="15617" max="15617" width="23.6640625" bestFit="1" customWidth="1"/>
    <col min="15618" max="15618" width="11.109375" bestFit="1" customWidth="1"/>
    <col min="15619" max="15619" width="14.33203125" bestFit="1" customWidth="1"/>
    <col min="15620" max="15621" width="10.33203125" bestFit="1" customWidth="1"/>
    <col min="15873" max="15873" width="23.6640625" bestFit="1" customWidth="1"/>
    <col min="15874" max="15874" width="11.109375" bestFit="1" customWidth="1"/>
    <col min="15875" max="15875" width="14.33203125" bestFit="1" customWidth="1"/>
    <col min="15876" max="15877" width="10.33203125" bestFit="1" customWidth="1"/>
    <col min="16129" max="16129" width="23.6640625" bestFit="1" customWidth="1"/>
    <col min="16130" max="16130" width="11.109375" bestFit="1" customWidth="1"/>
    <col min="16131" max="16131" width="14.33203125" bestFit="1" customWidth="1"/>
    <col min="16132" max="16133" width="10.33203125" bestFit="1" customWidth="1"/>
  </cols>
  <sheetData>
    <row r="1" spans="1:5" x14ac:dyDescent="0.3">
      <c r="A1" s="1" t="s">
        <v>102</v>
      </c>
      <c r="B1" s="126">
        <v>60000</v>
      </c>
    </row>
    <row r="2" spans="1:5" x14ac:dyDescent="0.3">
      <c r="A2" s="1" t="s">
        <v>77</v>
      </c>
      <c r="B2" s="1">
        <v>3</v>
      </c>
    </row>
    <row r="3" spans="1:5" x14ac:dyDescent="0.3">
      <c r="A3" s="1" t="s">
        <v>234</v>
      </c>
      <c r="B3" s="1">
        <v>0.09</v>
      </c>
    </row>
    <row r="4" spans="1:5" x14ac:dyDescent="0.3">
      <c r="A4" s="1" t="s">
        <v>39</v>
      </c>
      <c r="B4" s="1">
        <v>1</v>
      </c>
    </row>
    <row r="5" spans="1:5" x14ac:dyDescent="0.3">
      <c r="A5" s="1" t="s">
        <v>178</v>
      </c>
      <c r="B5" s="1">
        <v>0</v>
      </c>
      <c r="C5" s="127" t="str">
        <f>IF(B5=1,"Annuity Due",IF(B5=0,"Ordinary Annuity"))</f>
        <v>Ordinary Annuity</v>
      </c>
    </row>
    <row r="6" spans="1:5" x14ac:dyDescent="0.3">
      <c r="A6" s="1" t="s">
        <v>97</v>
      </c>
      <c r="B6" s="128">
        <f>PMT(B3,B2,B1)</f>
        <v>-23703.285439736432</v>
      </c>
    </row>
    <row r="8" spans="1:5" x14ac:dyDescent="0.3">
      <c r="A8" s="129" t="s">
        <v>25</v>
      </c>
      <c r="B8" s="129" t="s">
        <v>145</v>
      </c>
      <c r="C8" s="129" t="s">
        <v>133</v>
      </c>
      <c r="D8" s="129" t="s">
        <v>235</v>
      </c>
      <c r="E8" s="129" t="s">
        <v>146</v>
      </c>
    </row>
    <row r="9" spans="1:5" x14ac:dyDescent="0.3">
      <c r="A9" s="1">
        <v>0</v>
      </c>
      <c r="B9" s="130"/>
      <c r="C9" s="130"/>
      <c r="D9" s="130"/>
      <c r="E9" s="131">
        <f>B1</f>
        <v>60000</v>
      </c>
    </row>
    <row r="10" spans="1:5" x14ac:dyDescent="0.3">
      <c r="A10" s="1">
        <v>1</v>
      </c>
      <c r="B10" s="131">
        <f>-$B$6</f>
        <v>23703.285439736432</v>
      </c>
      <c r="C10" s="131">
        <f>E9*$B$3</f>
        <v>5400</v>
      </c>
      <c r="D10" s="131">
        <f>B10-C10</f>
        <v>18303.285439736432</v>
      </c>
      <c r="E10" s="131">
        <f>E9-D10</f>
        <v>41696.714560263572</v>
      </c>
    </row>
    <row r="11" spans="1:5" x14ac:dyDescent="0.3">
      <c r="A11" s="1">
        <v>2</v>
      </c>
      <c r="B11" s="131">
        <f>-$B$6</f>
        <v>23703.285439736432</v>
      </c>
      <c r="C11" s="131">
        <f>E10*$B$3</f>
        <v>3752.7043104237214</v>
      </c>
      <c r="D11" s="131">
        <f>B11-C11</f>
        <v>19950.581129312712</v>
      </c>
      <c r="E11" s="131">
        <f>E10-D11</f>
        <v>21746.13343095086</v>
      </c>
    </row>
    <row r="12" spans="1:5" ht="15" thickBot="1" x14ac:dyDescent="0.35">
      <c r="A12" s="28">
        <v>3</v>
      </c>
      <c r="B12" s="131">
        <f>-$B$6</f>
        <v>23703.285439736432</v>
      </c>
      <c r="C12" s="131">
        <f>E11*$B$3</f>
        <v>1957.1520087855774</v>
      </c>
      <c r="D12" s="131">
        <f>B12-C12</f>
        <v>21746.133430950853</v>
      </c>
      <c r="E12" s="131">
        <f>E11-D12</f>
        <v>0</v>
      </c>
    </row>
    <row r="13" spans="1:5" ht="15" thickBot="1" x14ac:dyDescent="0.35">
      <c r="A13" s="132" t="s">
        <v>46</v>
      </c>
      <c r="B13" s="133">
        <f>SUM(B10:B12)</f>
        <v>71109.856319209299</v>
      </c>
      <c r="C13" s="133">
        <f>SUM(C10:C12)</f>
        <v>11109.856319209299</v>
      </c>
      <c r="D13" s="133">
        <f>SUM(D10:D12)</f>
        <v>60000</v>
      </c>
      <c r="E13" s="133"/>
    </row>
    <row r="14" spans="1:5" ht="15" thickTop="1" x14ac:dyDescent="0.3"/>
    <row r="15" spans="1:5" x14ac:dyDescent="0.3">
      <c r="A15" s="129" t="s">
        <v>236</v>
      </c>
      <c r="B15" s="50">
        <f>C13</f>
        <v>11109.856319209299</v>
      </c>
    </row>
    <row r="16" spans="1:5" x14ac:dyDescent="0.3">
      <c r="A16" s="129" t="s">
        <v>237</v>
      </c>
      <c r="B16" s="50">
        <f>C12</f>
        <v>1957.1520087855774</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1&amp;2</vt:lpstr>
      <vt:lpstr>1&amp;2 (an)</vt:lpstr>
      <vt:lpstr>3</vt:lpstr>
      <vt:lpstr>3 (an)</vt:lpstr>
      <vt:lpstr>4</vt:lpstr>
      <vt:lpstr>4 (an)</vt:lpstr>
      <vt:lpstr>5</vt:lpstr>
      <vt:lpstr>5 (an)</vt:lpstr>
      <vt:lpstr>xxxx</vt:lpstr>
      <vt:lpstr>6&amp;7&amp;8</vt:lpstr>
      <vt:lpstr>6&amp;7&amp;8 (an)</vt:lpstr>
      <vt:lpstr>6.5</vt:lpstr>
      <vt:lpstr>6.5 (an)</vt:lpstr>
      <vt:lpstr>9</vt:lpstr>
      <vt:lpstr>9 (n)</vt:lpstr>
      <vt:lpstr>10</vt:lpstr>
      <vt:lpstr>10 (an)</vt:lpstr>
      <vt:lpstr>11</vt:lpstr>
      <vt:lpstr>11 (an)</vt:lpstr>
      <vt:lpstr>12</vt:lpstr>
      <vt:lpstr>12 (an)</vt:lpstr>
      <vt:lpstr>12.5</vt:lpstr>
      <vt:lpstr>12.5 (an)</vt:lpstr>
      <vt:lpstr>13</vt:lpstr>
      <vt:lpstr>13 (an)</vt:lpstr>
      <vt:lpstr>14</vt:lpstr>
      <vt:lpstr>14 (an)</vt:lpstr>
      <vt:lpstr>15</vt:lpstr>
      <vt:lpstr>15 (an)</vt:lpstr>
      <vt:lpstr>16</vt:lpstr>
      <vt:lpstr>16 (an)</vt:lpstr>
      <vt:lpstr>17</vt:lpstr>
      <vt:lpstr>17 (an)</vt:lpstr>
      <vt:lpstr>18</vt:lpstr>
      <vt:lpstr>18 (an)</vt:lpstr>
      <vt:lpstr>FC</vt:lpstr>
      <vt:lpstr>19&amp;20</vt:lpstr>
      <vt:lpstr>19&amp;20 (an)</vt:lpstr>
      <vt:lpstr>21</vt:lpstr>
      <vt:lpstr>21 (an)</vt:lpstr>
      <vt:lpstr>CF pattern</vt:lpstr>
      <vt:lpstr>22</vt:lpstr>
      <vt:lpstr>22 (an)</vt:lpstr>
      <vt:lpstr>22.5</vt:lpstr>
      <vt:lpstr>22.5 (an)</vt:lpstr>
      <vt:lpstr>23</vt:lpstr>
      <vt:lpstr>23 (an)</vt:lpstr>
      <vt:lpstr>24</vt:lpstr>
      <vt:lpstr>24 (an)</vt:lpstr>
      <vt:lpstr>25</vt:lpstr>
      <vt:lpstr>25 (an)</vt:lpstr>
      <vt:lpstr>26</vt:lpstr>
      <vt:lpstr>26 (an)</vt:lpstr>
      <vt:lpstr>27</vt:lpstr>
      <vt:lpstr>27 (an)</vt:lpstr>
      <vt:lpstr>28</vt:lpstr>
      <vt:lpstr>28 (an)</vt:lpstr>
      <vt:lpstr>29</vt:lpstr>
      <vt:lpstr>29 (an)</vt:lpstr>
      <vt:lpstr>30</vt:lpstr>
      <vt:lpstr>30 (an)</vt:lpstr>
      <vt:lpstr>Tax advantage</vt:lpstr>
      <vt:lpstr>Homework Template ==&gt;</vt:lpstr>
      <vt:lpstr>STP 5.1</vt:lpstr>
      <vt:lpstr>STP 5.1 (an)</vt:lpstr>
      <vt:lpstr>STP 5.2</vt:lpstr>
      <vt:lpstr>STP 5.2 (an)</vt:lpstr>
      <vt:lpstr>STP 5.3</vt:lpstr>
      <vt:lpstr>STP 5.3 (an)</vt:lpstr>
      <vt:lpstr>STP 5.4</vt:lpstr>
      <vt:lpstr>STP 5.4 (an)</vt:lpstr>
      <vt:lpstr>STP 5.5</vt:lpstr>
      <vt:lpstr>STP 5.5 (an)</vt:lpstr>
      <vt:lpstr>STP 5.6</vt:lpstr>
      <vt:lpstr>STP 5.6 (an)</vt:lpstr>
      <vt:lpstr>Q&amp;P(7)</vt:lpstr>
      <vt:lpstr>Q&amp;P(7an)</vt:lpstr>
      <vt:lpstr>Q&amp;P(12)</vt:lpstr>
      <vt:lpstr>Q&amp;P(12an)</vt:lpstr>
      <vt:lpstr>Q&amp;P(13)</vt:lpstr>
      <vt:lpstr>Q&amp;P(13an)</vt:lpstr>
      <vt:lpstr>Q&amp;P(19)</vt:lpstr>
      <vt:lpstr>Q&amp;P(19an)</vt:lpstr>
      <vt:lpstr>Q&amp;P(20)</vt:lpstr>
      <vt:lpstr>Q&amp;P(20an)</vt:lpstr>
      <vt:lpstr>Q&amp;P(31)</vt:lpstr>
      <vt:lpstr>Q&amp;P(31an)</vt:lpstr>
      <vt:lpstr>Q&amp;P(35)</vt:lpstr>
      <vt:lpstr>Q&amp;P(35an)</vt:lpstr>
      <vt:lpstr>Q&amp;P(39)</vt:lpstr>
      <vt:lpstr>Q&amp;P(39an)</vt:lpstr>
      <vt:lpstr>Q&amp;P(43)</vt:lpstr>
      <vt:lpstr>Q&amp;P(43an)</vt:lpstr>
      <vt:lpstr>Q&amp;P(49)</vt:lpstr>
      <vt:lpstr>Q&amp;P(49an)</vt:lpstr>
      <vt:lpstr>Q&amp;P(55)</vt:lpstr>
      <vt:lpstr>Q&amp;P(55an)</vt:lpstr>
    </vt:vector>
  </TitlesOfParts>
  <Company>Highline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 Public Workstation</dc:creator>
  <cp:lastModifiedBy>Michael Girvin</cp:lastModifiedBy>
  <dcterms:created xsi:type="dcterms:W3CDTF">2010-10-08T16:42:36Z</dcterms:created>
  <dcterms:modified xsi:type="dcterms:W3CDTF">2010-11-08T19:46:56Z</dcterms:modified>
</cp:coreProperties>
</file>